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6995" windowHeight="11955" activeTab="0"/>
  </bookViews>
  <sheets>
    <sheet name="ConTrols" sheetId="1" r:id="rId1"/>
    <sheet name="A.O. Smith" sheetId="2" r:id="rId2"/>
    <sheet name="Bemis Seat Company" sheetId="3" r:id="rId3"/>
    <sheet name="Church Seat Company" sheetId="4" r:id="rId4"/>
    <sheet name="Fiat Products" sheetId="5" r:id="rId5"/>
    <sheet name="Jay R Smith Net" sheetId="6" r:id="rId6"/>
    <sheet name="Jay R. Smith" sheetId="7" r:id="rId7"/>
    <sheet name="McGuire" sheetId="8" r:id="rId8"/>
    <sheet name="MURDOCK" sheetId="9" r:id="rId9"/>
    <sheet name="Precision Plumbing Products" sheetId="10" r:id="rId10"/>
    <sheet name="State Water Heaters" sheetId="11" r:id="rId11"/>
    <sheet name="TACO, INC" sheetId="12" r:id="rId12"/>
    <sheet name="Toto" sheetId="13" r:id="rId13"/>
    <sheet name="T &amp; S Brass" sheetId="14" r:id="rId14"/>
  </sheets>
  <definedNames>
    <definedName name="__Quote__">'ConTrols'!$A$8:$I$24</definedName>
    <definedName name="__QuoteDetails__">'ConTrols'!$A$17:$I$18</definedName>
    <definedName name="_xlnm.Print_Area" localSheetId="0">'ConTrols'!$A$1:$F$24</definedName>
    <definedName name="__Quote__" localSheetId="1">'A.O. Smith'!$A$8:$I$24</definedName>
    <definedName name="__QuoteDetails__" localSheetId="1">'A.O. Smith'!$A$17:$I$18</definedName>
    <definedName name="_xlnm.Print_Area" localSheetId="1">'A.O. Smith'!$A$1:$F$24</definedName>
    <definedName name="__Quote__" localSheetId="2">'Bemis Seat Company'!$A$8:$I$24</definedName>
    <definedName name="__QuoteDetails__" localSheetId="2">'Bemis Seat Company'!$A$17:$I$18</definedName>
    <definedName name="_xlnm.Print_Area" localSheetId="2">'Bemis Seat Company'!$A$1:$F$24</definedName>
    <definedName name="__Quote__" localSheetId="3">'Church Seat Company'!$A$8:$I$22</definedName>
    <definedName name="__QuoteDetails__" localSheetId="3">'Church Seat Company'!$A$17:$I$18</definedName>
    <definedName name="_xlnm.Print_Area" localSheetId="3">'Church Seat Company'!$A$1:$F$22</definedName>
    <definedName name="__Quote__" localSheetId="4">'Fiat Products'!$A$8:$I$26</definedName>
    <definedName name="__QuoteDetails__" localSheetId="4">'Fiat Products'!$A$17:$I$18</definedName>
    <definedName name="_xlnm.Print_Area" localSheetId="4">'Fiat Products'!$A$1:$F$26</definedName>
    <definedName name="__Quote__" localSheetId="5">'Jay R Smith Net'!$A$8:$I$34</definedName>
    <definedName name="__QuoteDetails__" localSheetId="5">'Jay R Smith Net'!$A$17:$I$18</definedName>
    <definedName name="_xlnm.Print_Area" localSheetId="5">'Jay R Smith Net'!$A$1:$F$34</definedName>
    <definedName name="__Quote__" localSheetId="6">'Jay R. Smith'!$A$8:$I$90</definedName>
    <definedName name="__QuoteDetails__" localSheetId="6">'Jay R. Smith'!$A$17:$I$18</definedName>
    <definedName name="_xlnm.Print_Area" localSheetId="6">'Jay R. Smith'!$A$1:$F$90</definedName>
    <definedName name="__Quote__" localSheetId="7">'McGuire'!$A$8:$I$58</definedName>
    <definedName name="__QuoteDetails__" localSheetId="7">'McGuire'!$A$17:$I$18</definedName>
    <definedName name="_xlnm.Print_Area" localSheetId="7">'McGuire'!$A$1:$F$58</definedName>
    <definedName name="__Quote__" localSheetId="8">'MURDOCK'!$A$8:$I$28</definedName>
    <definedName name="__QuoteDetails__" localSheetId="8">'MURDOCK'!$A$17:$I$18</definedName>
    <definedName name="_xlnm.Print_Area" localSheetId="8">'MURDOCK'!$A$1:$F$28</definedName>
    <definedName name="__Quote__" localSheetId="9">'Precision Plumbing Products'!$A$8:$I$44</definedName>
    <definedName name="__QuoteDetails__" localSheetId="9">'Precision Plumbing Products'!$A$17:$I$18</definedName>
    <definedName name="_xlnm.Print_Area" localSheetId="9">'Precision Plumbing Products'!$A$1:$F$44</definedName>
    <definedName name="__Quote__" localSheetId="10">'State Water Heaters'!$A$8:$I$24</definedName>
    <definedName name="__QuoteDetails__" localSheetId="10">'State Water Heaters'!$A$17:$I$18</definedName>
    <definedName name="_xlnm.Print_Area" localSheetId="10">'State Water Heaters'!$A$1:$F$24</definedName>
    <definedName name="__Quote__" localSheetId="11">'TACO, INC'!$A$8:$I$30</definedName>
    <definedName name="__QuoteDetails__" localSheetId="11">'TACO, INC'!$A$17:$I$18</definedName>
    <definedName name="_xlnm.Print_Area" localSheetId="11">'TACO, INC'!$A$1:$F$30</definedName>
    <definedName name="__Quote__" localSheetId="12">'Toto'!$A$8:$I$28</definedName>
    <definedName name="__QuoteDetails__" localSheetId="12">'Toto'!$A$17:$I$18</definedName>
    <definedName name="_xlnm.Print_Area" localSheetId="12">'Toto'!$A$1:$F$28</definedName>
    <definedName name="__Quote__" localSheetId="13">'T &amp; S Brass'!$A$8:$I$42</definedName>
    <definedName name="__QuoteDetails__" localSheetId="13">'T &amp; S Brass'!$A$17:$I$18</definedName>
    <definedName name="_xlnm.Print_Area" localSheetId="13">'T &amp; S Brass'!$A$1:$F$42</definedName>
  </definedNames>
  <calcPr fullCalcOnLoad="1"/>
</workbook>
</file>

<file path=xl/sharedStrings.xml><?xml version="1.0" encoding="utf-8"?>
<sst xmlns="http://schemas.openxmlformats.org/spreadsheetml/2006/main" count="611" uniqueCount="168">
  <si>
    <t>Description</t>
  </si>
  <si>
    <t>List Price</t>
  </si>
  <si>
    <t>Net Price</t>
  </si>
  <si>
    <t>Job:</t>
  </si>
  <si>
    <t>Total:</t>
  </si>
  <si>
    <t>Company:</t>
  </si>
  <si>
    <t>Quote No:</t>
  </si>
  <si>
    <t>Location</t>
  </si>
  <si>
    <t>Quantity</t>
  </si>
  <si>
    <t>Added By:</t>
  </si>
  <si>
    <t>Job Location:</t>
  </si>
  <si>
    <t>Engineer:</t>
  </si>
  <si>
    <t>Price Protection:</t>
  </si>
  <si>
    <t>Freight Class:</t>
  </si>
  <si>
    <t>Entered:</t>
  </si>
  <si>
    <t>Bid Due:</t>
  </si>
  <si>
    <t>Printed:</t>
  </si>
  <si>
    <t>Attn:</t>
  </si>
  <si>
    <t>Multiplier:</t>
  </si>
  <si>
    <t>Extended</t>
  </si>
  <si>
    <t>Mfg:</t>
  </si>
  <si>
    <t>Quotation</t>
  </si>
  <si>
    <t>RepSouth</t>
  </si>
  <si>
    <t>220 Olympic Street</t>
  </si>
  <si>
    <t>Charlotte, NC 28273</t>
  </si>
  <si>
    <r>
      <rPr>
        <b/>
        <sz val="10"/>
        <rFont val="Arial"/>
        <family val="2"/>
      </rPr>
      <t>Phone: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704-525-3043</t>
    </r>
  </si>
  <si>
    <r>
      <rPr>
        <b/>
        <sz val="10"/>
        <rFont val="Arial"/>
        <family val="2"/>
      </rPr>
      <t>Fax: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704-525-8169</t>
    </r>
  </si>
  <si>
    <t>NC RepSouth</t>
  </si>
  <si>
    <t>jowo</t>
  </si>
  <si>
    <t>THE GODDARD SCHOOL FOR EARLY CHILDHOOD DEVELOPMENT - FORT MILL SC</t>
  </si>
  <si>
    <t>FORT MILL SC</t>
  </si>
  <si>
    <t>ConTrols</t>
  </si>
  <si>
    <t>MV1</t>
  </si>
  <si>
    <t>MV17-3
(SUBJECT TO APPROVAL) LEAD FREE THERMOSTATIC HI-LO MASTER MIXING VALVE - 1" NPT BALL VALVES, BRASS BODY, 90 GPM @ 45 PSID</t>
  </si>
  <si>
    <t>MV2</t>
  </si>
  <si>
    <t>ST70-38
(SUBJECT TO APPROVAL) LEAD FREE LAVATORY TEMPERING VALVE ASSE 1070 CERTIFIED 3/8" COMPRESSION CONNECTION BRASS BODY, 4.0 GPM @ 45 PSID</t>
  </si>
  <si>
    <t>A.O. Smith</t>
  </si>
  <si>
    <t>GWH1</t>
  </si>
  <si>
    <t>BTH-199A
Commercial Gas, Cyclone Xi High Efficiency, 100 gallon, 199,000 BTU, Water Heater</t>
  </si>
  <si>
    <t>100289339
NEUTRALIZER,300K BTU,CN2-300C</t>
  </si>
  <si>
    <t>Bemis Seat Company</t>
  </si>
  <si>
    <t>WC1</t>
  </si>
  <si>
    <t>BB955CT 000
PRMY OFLC STA PLST</t>
  </si>
  <si>
    <t>WC2,WC3</t>
  </si>
  <si>
    <t>1055SSC 000
ELG OFLC SS PLST ST</t>
  </si>
  <si>
    <t>Church Seat Company</t>
  </si>
  <si>
    <t>255SSC 000
ELG OFLC PLST SEAT</t>
  </si>
  <si>
    <t>Fiat Products</t>
  </si>
  <si>
    <t>MS</t>
  </si>
  <si>
    <t>MSB3624100
(SUBJECT TO APPROVAL) MSB3624 MOP SINK</t>
  </si>
  <si>
    <t>889CC000
889 CC MOP HANGER</t>
  </si>
  <si>
    <t>MSG3624000
MSG36X24 WALL GUARDS</t>
  </si>
  <si>
    <t>Jay R Smith Net</t>
  </si>
  <si>
    <t>FD1</t>
  </si>
  <si>
    <t>2692 KIT
QUAD CLOSE TRAP SEAL</t>
  </si>
  <si>
    <t>2692-02
2" QUAD CLOSE TRAP SEAL</t>
  </si>
  <si>
    <t>2692-03
3" QUAD CLOSE TRAP SEAL</t>
  </si>
  <si>
    <t>2692-04
4" QUAD CLOSE TRAP SEAL</t>
  </si>
  <si>
    <t>FS1</t>
  </si>
  <si>
    <t>320-Y03
(SUBJECT TO APPROVAL) 3" Y FLOOR SINK 12" SQUARE 6" DEEP ARE CI BODY LESS FLANGE</t>
  </si>
  <si>
    <t>320-12
(ADD) Floor Sink Grate 1/2 Grate</t>
  </si>
  <si>
    <t>HB2</t>
  </si>
  <si>
    <t>5672
MILD CLIMATE SILLCOCK, 1/2"</t>
  </si>
  <si>
    <t>Jay R. Smith</t>
  </si>
  <si>
    <t>L1</t>
  </si>
  <si>
    <t>0700-19-M32
0700-19-M32</t>
  </si>
  <si>
    <t>CO,YCO,WCO</t>
  </si>
  <si>
    <t>4220S02-NS
(Z1400) 2" S 4220 NEW STYLE</t>
  </si>
  <si>
    <t>4220S02-NS
2" S 4220 NEW STYLE</t>
  </si>
  <si>
    <t>4220S03-NS
3" S 4220 NEW STYLE</t>
  </si>
  <si>
    <t>4220S04-NS
4" S 4220 NEW STYLE</t>
  </si>
  <si>
    <t>4100S02-NS
(EXTRA HEAVY DUTY BUT NB TOP) 2" S 4100 NEW STYLE</t>
  </si>
  <si>
    <t>4100S02-NS
2" S 4100 NEW STYLE</t>
  </si>
  <si>
    <t>4100S03-NS
3" S 4100 NEW STYLE</t>
  </si>
  <si>
    <t>4100S04-NS
4" S 4100 NEW STYLE</t>
  </si>
  <si>
    <t>2005Y02 (-B05NB)
2" Y 2005 W/(-B05NB)B 5" NB STRAINER</t>
  </si>
  <si>
    <t>2005Y02 (-B06NB)
2" Y 2005 W/(-B06NB)B 6" NB STRAINER</t>
  </si>
  <si>
    <t>HB1</t>
  </si>
  <si>
    <t>5519 (-CP-SAP)
5519 HYDRANT W/(CP) CP FINISH F/(-SAP) SHORT AS POSSIBLE</t>
  </si>
  <si>
    <t>5519 (-06-CP)
5519 HYDRANT F/(-06) 5"-8" WALL W/(CP) CP FINISH</t>
  </si>
  <si>
    <t>5519 (-10-CP)
5519 HYDRANT F/(-10) 9"-16" WALL W/(CP) CP FINISH</t>
  </si>
  <si>
    <t>5619 (-CP-SAP)
5619 W/(CP) CP FINISH F/(-SAP) SHORT AS POSSIBLE</t>
  </si>
  <si>
    <t>5619 (-04-CP)
5619 F/(-04) 4"-7" WALL W/(CP) CP FINISH</t>
  </si>
  <si>
    <t>5619 (-08-CP)
5619 F/(-08) 8"-15" WALL W/(CP) CP FINISH</t>
  </si>
  <si>
    <t>SA</t>
  </si>
  <si>
    <t>5205
5205 HYDROTROL JUNIOR</t>
  </si>
  <si>
    <t>5210
5210 HYDROTROL JUNIOR</t>
  </si>
  <si>
    <t>5220
5220 HYDROTROL JUNIOR</t>
  </si>
  <si>
    <t>5230
5230 HYDROTROL JUNIOR</t>
  </si>
  <si>
    <t>5240
5240 HYDROTROL JUNIOR</t>
  </si>
  <si>
    <t>5250
5250 HYDROTROL JUNIOR</t>
  </si>
  <si>
    <t>WCO</t>
  </si>
  <si>
    <t>4530S02
(SPECIFIED) 2" C 4530</t>
  </si>
  <si>
    <t>4530S02
2" C 4530</t>
  </si>
  <si>
    <t>4530S03
3" C 4530</t>
  </si>
  <si>
    <t>4530S04
4" C 4530</t>
  </si>
  <si>
    <t>4532S02
(W/ BRONZE PLUG) 2" S 4532</t>
  </si>
  <si>
    <t>4532S02
2" S 4532</t>
  </si>
  <si>
    <t>4532S03
3" S 4532</t>
  </si>
  <si>
    <t>4532S04
4" S 4532</t>
  </si>
  <si>
    <t>McGuire</t>
  </si>
  <si>
    <t>L1,L2</t>
  </si>
  <si>
    <t>LAVATORY TRIM
THESE ARE ITEMS GENERALLY USED FOR LAVATORIES - USE AS REQUIRED</t>
  </si>
  <si>
    <t>155AECO
PO Plug Open Grid Cast Brs CP 1 1/4 x6 Tlpc</t>
  </si>
  <si>
    <t>C8902C
Trap, Cast Body 11/4 x 11/2 17 Ga, CP w/ ZD Nuts, 7.5" WB</t>
  </si>
  <si>
    <t>LF175
Supply, Flex,Lav,Chrome, WH 1/2 Cop Swt x 3/8 OD,Lead Free</t>
  </si>
  <si>
    <t>PW2000
(ADD AS REQUIRED) ProWrap Kit - Covers for trap, Tlpc., WB, 2 Supply Covers</t>
  </si>
  <si>
    <t>PW2125
(AS REQUIRED) ProWrap PreWrap 11/4 J Bend WB Cover - Tlpc., 2-Sup. &amp; Flg.</t>
  </si>
  <si>
    <t>GRID DRAIN ADA
ADA GRID DRAINS FOR USE WITH LAVATORY SINKS</t>
  </si>
  <si>
    <t>155WCECO
PO Plug Open Grd Whlchair 11/4 Offst Tlpc CP</t>
  </si>
  <si>
    <t>PW2000WC
(ADD AS REQUIRED) ProWrap Kit - Covers for Trap, Tlpc., WB, Offset, 2 Sup Cover</t>
  </si>
  <si>
    <t>PW2125WC
(IF REQUIRED) ProWrap PreWrap Offset 1 1/4 J-Bnd WB Cov-Tlpc,2-Sply &amp; Flg</t>
  </si>
  <si>
    <t>EWC</t>
  </si>
  <si>
    <t>8872C
Trap, Cast Body 11/4 x 11/4 17 Ga, Chrome</t>
  </si>
  <si>
    <t>LF165
Supply, Flex, Lav, Chrome 3/8 IPS x 3/8 OD WH Lead Free</t>
  </si>
  <si>
    <t>SS2</t>
  </si>
  <si>
    <t>SS SINK TRIM
THESE ITEMS ARE GENERALLY USED FOR STAINLESS STEEL SINKS, USE AS REQUIRED</t>
  </si>
  <si>
    <t>151AECO
SS Basket Strainer, Heavy Duty Body w/Stainless Basket,</t>
  </si>
  <si>
    <t>C8912CECO
11/2,11/4x11/2 Eco-Line CstBdy PTrap w/CO,</t>
  </si>
  <si>
    <t>PW2000
ProWrap Kit - Covers for trap, Tlpc., WB, 2 Supply Covers</t>
  </si>
  <si>
    <t>WF1</t>
  </si>
  <si>
    <t>MURDOCK</t>
  </si>
  <si>
    <t>A172108F-UG-BF12-BCD
(SUBJECT TO APPROVAL) Barrier-Free, Universal Bi-Level, Wall Mounted Water Cooler, Gray Finish, Flexible Bubbler w/ Sensor Operated Bottle Filler w/ Bottle Counter Display</t>
  </si>
  <si>
    <t>SK5G
A000G000-SK5
(ADD) Gray Skirt Kit For Upper Unit</t>
  </si>
  <si>
    <t>A152400F-VR-FR4A
(SUBJECT TO APPROVAL) ADA, Stainless Steel, Wall Mount, Rounded Box Bi-Level Drinking Fountain (32 In. Width-Std), Stainless Steel Finish, Flexible Bubbler, Vandal Resistant w/ Above Ground Freeze Resistant Valve System, Bi-Level Fountain</t>
  </si>
  <si>
    <t>SK3-18
Skirt Assembly For Bi-Level Round Box Fountain</t>
  </si>
  <si>
    <t>Precision Plumbing Products</t>
  </si>
  <si>
    <t>PDS-2000
2" PRO-DRAIN TRAP SEAL</t>
  </si>
  <si>
    <t>PDS-3000
3" PRO-DRAIN TRAP SEAL</t>
  </si>
  <si>
    <t>PDS-4000
4" PRO-DRAIN TRAP SEAL</t>
  </si>
  <si>
    <t>SC-500A-SC-2000F KIT
Threaded Water Hammer Arrestors</t>
  </si>
  <si>
    <t>MM-500TH
1/2" NPT MINI-MAX LEAD FREE ARRESTOR "AA"</t>
  </si>
  <si>
    <t>SC-500A
1/2" NPT "A" PDI LEAD FREE SYSTEM RATE WHA</t>
  </si>
  <si>
    <t>SC-750B
3/4" NPT "B" PDI LEAD FREE SYSTEM RATED WHA</t>
  </si>
  <si>
    <t>SC-1000C
1" NPT "C" PDI LEAD FREE SYSTEM RATED WHA</t>
  </si>
  <si>
    <t>SC-1250D
1 1/4" "D" PDI 1" NPT LEAD FREE SYSTEM RATED WHA</t>
  </si>
  <si>
    <t>SC-1500E
1 1/2" "E" PDI 1" NPT LEAD FREE SYSTEM RATED WHA</t>
  </si>
  <si>
    <t>SC-2000F
2" "F" PDI 1" NPT LEAD FREE SYSTEM RATED WHA</t>
  </si>
  <si>
    <t>State Water Heaters</t>
  </si>
  <si>
    <t>SUF100 199NEA
Commercial Gas, Ultra Force, 100 gallon, 199,000 BTU, Water Heater</t>
  </si>
  <si>
    <t>TACO, INC</t>
  </si>
  <si>
    <t>LD</t>
  </si>
  <si>
    <t>LB-075-H-1LF
LEAK BREAKER WATER HEATER SHUT-OFF</t>
  </si>
  <si>
    <t>009-SF5
(SUBJECT TO APPROVAL - GPM AND FEET OF HEAD NOT PROVIDED) FLANGED STAINLESS STEEL CIRCULATOR, 1/8HP, 115V, 1.40A</t>
  </si>
  <si>
    <t>TACO KIT
ITEMS GENERALLY USED FOR TACO PUMPS</t>
  </si>
  <si>
    <t>110-251SF
FREEDOM FLANGE SET - STAINLESS STEEL 3/4" NPT</t>
  </si>
  <si>
    <t>SP115-1
Plug in Smart Control (115V, Replaces Aquastat and Timer)</t>
  </si>
  <si>
    <t>Toto</t>
  </si>
  <si>
    <t>WC1,WC2,WC3</t>
  </si>
  <si>
    <t>TMT1NNC-32
(ALTERNATE) EXPOSED 1.6GPF TOLET NONHOLD</t>
  </si>
  <si>
    <t>WC2</t>
  </si>
  <si>
    <t>CT705UN#01
(SUBJECT TO APPROVAL) COMMERCIAL FLOOR MOUNT EL BOWL</t>
  </si>
  <si>
    <t>WC3</t>
  </si>
  <si>
    <t>CT705ULN#01
(SUBJECT TO APPROVAL) COMMERCIAL FL MOUNT ADA COMPLIANT EL BOWL</t>
  </si>
  <si>
    <t>LT307.4#01
(SUBJECT TO APPROVAL) 4" CTR WALL MOUNT LAVATORY</t>
  </si>
  <si>
    <t>T &amp; S Brass</t>
  </si>
  <si>
    <t>B-1141-04-CR
(SUBJECT TO APPROVAL) Workboard Faucet, Deck Mount, 4" Centers, Swivel Gooseneck, CV-Ceramas, 4" Handles</t>
  </si>
  <si>
    <t>B-0199-01-F12
(ADD) 1.2 GPM Aerator, 55/64-27UN Female Threads</t>
  </si>
  <si>
    <t>B-0899
Grid Drain, Cast Brass w/ Polished Chrome</t>
  </si>
  <si>
    <t>B-0898-OF
Grid Drain Assembly, Offset, Polished Chrome</t>
  </si>
  <si>
    <t>B-0665-BSTP
Service Sink Faucet, Wall Mount, 8" Centers, Built-In Stops, Vacuum Breaker, Polished</t>
  </si>
  <si>
    <t>B-0653
Mop Hanger, Stainless Steel, Spring-Loaded Rubber Grips (3)</t>
  </si>
  <si>
    <t>B-1120-LN
(SUBJECT TO APPROVAL) Workboard Faucet, Deck Mount, 8" Centers, Lever Handles, Less Nozzle</t>
  </si>
  <si>
    <t>135X
(ADD) Swivel Gooseneck, 8-3/4" Spread, 12-1/16" Height, 5-9/16" Clearance</t>
  </si>
  <si>
    <t>B-0199-02-WS
(ADD) 1.5 gpm Aerator, 3/8" NPSM Male Threads (WaterSense)</t>
  </si>
  <si>
    <t>SS3</t>
  </si>
  <si>
    <t>B-0133-B
EasyInstall Pre-Rinse, Spring Action, Wall Mount Base, 8" Centers, Wall Bracket</t>
  </si>
  <si>
    <t>B-3950
Waste Drain Valve, Twist Handle, 3-1/2" x 2" &amp; 1-1/2" Adapter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</si>
</sst>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-mm\-yy"/>
    <numFmt numFmtId="181" formatCode="#,##0.00\ &quot;€&quot;"/>
    <numFmt numFmtId="182" formatCode="[$-C09]dddd\,\ d\ mmmm\ yyyy"/>
    <numFmt numFmtId="183" formatCode="yyyy\-mm\-dd;@"/>
    <numFmt numFmtId="184" formatCode="[$-409]dddd\,\ mmmm\ dd\,\ yyyy"/>
  </numFmts>
  <fonts count="47">
    <font>
      <sz val="10"/>
      <name val="Arial"/>
      <family val="0"/>
    </font>
    <font>
      <b/>
      <sz val="14"/>
      <color indexed="9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56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3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36" borderId="0" xfId="0" applyFill="1" applyBorder="1" applyAlignment="1">
      <alignment vertical="top" wrapText="1"/>
    </xf>
    <xf numFmtId="2" fontId="0" fillId="36" borderId="15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2" fontId="0" fillId="36" borderId="16" xfId="0" applyNumberFormat="1" applyFont="1" applyFill="1" applyBorder="1" applyAlignment="1">
      <alignment vertical="top" wrapText="1"/>
    </xf>
    <xf numFmtId="0" fontId="0" fillId="36" borderId="16" xfId="0" applyNumberFormat="1" applyFont="1" applyFill="1" applyBorder="1" applyAlignment="1">
      <alignment vertical="top" wrapText="1"/>
    </xf>
    <xf numFmtId="49" fontId="0" fillId="36" borderId="12" xfId="0" applyNumberFormat="1" applyFont="1" applyFill="1" applyBorder="1" applyAlignment="1">
      <alignment vertical="top" wrapText="1"/>
    </xf>
    <xf numFmtId="49" fontId="0" fillId="36" borderId="14" xfId="0" applyNumberFormat="1" applyFont="1" applyFill="1" applyBorder="1" applyAlignment="1">
      <alignment vertical="top"/>
    </xf>
    <xf numFmtId="0" fontId="45" fillId="36" borderId="14" xfId="0" applyNumberFormat="1" applyFont="1" applyFill="1" applyBorder="1" applyAlignment="1">
      <alignment vertical="top"/>
    </xf>
    <xf numFmtId="49" fontId="0" fillId="36" borderId="14" xfId="0" applyNumberFormat="1" applyFont="1" applyFill="1" applyBorder="1" applyAlignment="1">
      <alignment vertical="top" wrapText="1"/>
    </xf>
    <xf numFmtId="2" fontId="0" fillId="36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6" borderId="16" xfId="0" applyNumberFormat="1" applyFont="1" applyFill="1" applyBorder="1" applyAlignment="1">
      <alignment vertical="top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14" xfId="0" applyNumberFormat="1" applyBorder="1" applyAlignment="1">
      <alignment/>
    </xf>
    <xf numFmtId="49" fontId="0" fillId="36" borderId="0" xfId="0" applyNumberFormat="1" applyFont="1" applyFill="1" applyBorder="1" applyAlignment="1" applyProtection="1">
      <alignment vertical="top"/>
      <protection/>
    </xf>
    <xf numFmtId="0" fontId="45" fillId="36" borderId="0" xfId="0" applyNumberFormat="1" applyFont="1" applyFill="1" applyBorder="1" applyAlignment="1" applyProtection="1">
      <alignment vertical="top"/>
      <protection/>
    </xf>
    <xf numFmtId="49" fontId="0" fillId="36" borderId="0" xfId="0" applyNumberFormat="1" applyFont="1" applyFill="1" applyBorder="1" applyAlignment="1" applyProtection="1">
      <alignment vertical="top" wrapText="1"/>
      <protection/>
    </xf>
    <xf numFmtId="2" fontId="0" fillId="36" borderId="0" xfId="0" applyNumberFormat="1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0" fillId="36" borderId="16" xfId="0" applyNumberFormat="1" applyFont="1" applyFill="1" applyBorder="1" applyAlignment="1">
      <alignment horizontal="left" vertical="top" wrapText="1" indent="2"/>
    </xf>
    <xf numFmtId="0" fontId="45" fillId="36" borderId="14" xfId="0" applyNumberFormat="1" applyFont="1" applyFill="1" applyBorder="1" applyAlignment="1">
      <alignment horizontal="left" vertical="top" indent="2"/>
    </xf>
    <xf numFmtId="0" fontId="0" fillId="36" borderId="0" xfId="0" applyFont="1" applyFill="1" applyBorder="1" applyAlignment="1">
      <alignment vertical="top" wrapText="1"/>
    </xf>
    <xf numFmtId="0" fontId="0" fillId="36" borderId="0" xfId="0" applyFont="1" applyFill="1" applyBorder="1" applyAlignment="1">
      <alignment/>
    </xf>
    <xf numFmtId="0" fontId="46" fillId="36" borderId="0" xfId="0" applyFont="1" applyFill="1" applyBorder="1" applyAlignment="1">
      <alignment vertical="top"/>
    </xf>
    <xf numFmtId="0" fontId="0" fillId="36" borderId="16" xfId="0" applyFont="1" applyFill="1" applyBorder="1" applyAlignment="1">
      <alignment vertical="top" wrapText="1"/>
    </xf>
    <xf numFmtId="0" fontId="0" fillId="36" borderId="0" xfId="0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49" fontId="8" fillId="36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85725</xdr:rowOff>
    </xdr:from>
    <xdr:to>
      <xdr:col>1</xdr:col>
      <xdr:colOff>1476375</xdr:colOff>
      <xdr:row>5</xdr:row>
      <xdr:rowOff>76200</xdr:rowOff>
    </xdr:to>
    <xdr:pic>
      <xdr:nvPicPr>
        <xdr:cNvPr id="1" name="&lt;#Img&gt;" descr="quot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31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32</v>
      </c>
      <c r="B17" s="20" t="s">
        <v>33</v>
      </c>
      <c r="C17" s="33">
        <v>1</v>
      </c>
      <c r="D17" s="19">
        <v>1618</v>
      </c>
      <c r="E17" s="16">
        <f>IF(TRUE,D17*$H$1,1618)+0</f>
        <v>1618</v>
      </c>
      <c r="F17" s="16">
        <f>C17*E17</f>
        <v>1618</v>
      </c>
      <c r="G17" s="49"/>
      <c r="H17" s="47"/>
      <c r="I17" s="15"/>
    </row>
    <row r="18" spans="1:9" s="9" customFormat="1" ht="12" customHeight="1">
      <c r="A18" s="22"/>
      <c r="B18" s="23">
        <f>IF(""="","",HYPERLINK("","Spec Sheet"))</f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34</v>
      </c>
      <c r="B19" s="20" t="s">
        <v>35</v>
      </c>
      <c r="C19" s="33">
        <v>1</v>
      </c>
      <c r="D19" s="19">
        <v>202</v>
      </c>
      <c r="E19" s="16">
        <f>IF(TRUE,D19*$H$1,202)+0</f>
        <v>202</v>
      </c>
      <c r="F19" s="16">
        <f>C19*E19</f>
        <v>202</v>
      </c>
      <c r="G19" s="49"/>
      <c r="H19" s="47"/>
      <c r="I19" s="15"/>
    </row>
    <row r="20" spans="1:9" s="9" customFormat="1" ht="12" customHeight="1">
      <c r="A20" s="22"/>
      <c r="B20" s="23">
        <f>IF(""="","",HYPERLINK("","Spec Sheet"))</f>
      </c>
      <c r="C20" s="24"/>
      <c r="D20" s="24"/>
      <c r="E20" s="24"/>
      <c r="F20" s="25"/>
      <c r="G20" s="48"/>
      <c r="H20" s="48"/>
      <c r="I20" s="8"/>
    </row>
    <row r="21" spans="1:9" s="43" customFormat="1" ht="11.25" customHeight="1" hidden="1">
      <c r="A21" s="38"/>
      <c r="B21" s="39"/>
      <c r="C21" s="40"/>
      <c r="D21" s="40"/>
      <c r="E21" s="40"/>
      <c r="F21" s="41"/>
      <c r="G21" s="42"/>
      <c r="H21" s="42"/>
      <c r="I21" s="42"/>
    </row>
    <row r="22" spans="1:9" s="43" customFormat="1" ht="11.25" customHeight="1">
      <c r="A22" s="38"/>
      <c r="B22" s="39"/>
      <c r="C22" s="40"/>
      <c r="D22" s="18" t="s">
        <v>4</v>
      </c>
      <c r="E22" s="18"/>
      <c r="F22" s="37">
        <f>SUBTOTAL(9,F17:F21)</f>
        <v>1820</v>
      </c>
      <c r="G22" s="42"/>
      <c r="H22" s="42"/>
      <c r="I22" s="42"/>
    </row>
    <row r="23" spans="1:9" s="43" customFormat="1" ht="11.25" customHeight="1">
      <c r="A23" s="38"/>
      <c r="B23" s="39"/>
      <c r="C23" s="40"/>
      <c r="D23" s="18"/>
      <c r="E23" s="18"/>
      <c r="F23" s="52"/>
      <c r="G23" s="42"/>
      <c r="H23" s="42"/>
      <c r="I23" s="42"/>
    </row>
    <row r="24" spans="1:9" s="43" customFormat="1" ht="12.75" customHeight="1">
      <c r="A24" s="53"/>
      <c r="B24" s="53"/>
      <c r="C24" s="53"/>
      <c r="D24" s="53"/>
      <c r="E24" s="53"/>
      <c r="F24" s="53"/>
      <c r="G24" s="51"/>
      <c r="H24" s="42"/>
      <c r="I24" s="42"/>
    </row>
  </sheetData>
  <sheetProtection/>
  <mergeCells count="1">
    <mergeCell ref="A24:F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126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53</v>
      </c>
      <c r="B17" s="20" t="s">
        <v>127</v>
      </c>
      <c r="C17" s="33"/>
      <c r="D17" s="19"/>
      <c r="E17" s="16">
        <f>IF(FALSE,D17*$H$1,0)+0</f>
        <v>0</v>
      </c>
      <c r="F17" s="16">
        <f>C17*E17</f>
        <v>0</v>
      </c>
      <c r="G17" s="49"/>
      <c r="H17" s="47"/>
      <c r="I17" s="15"/>
    </row>
    <row r="18" spans="1:9" s="9" customFormat="1" ht="12" customHeight="1">
      <c r="A18" s="22"/>
      <c r="B18" s="23" t="str">
        <f>IF("http://www.pppinc.net/products/trap-primers/electronic-floor-drain-trap-primers/pro-drain-trap-seal-insert/pro-drain-trap-seal.html"="","",HYPERLINK("http://www.pppinc.net/products/trap-primers/electronic-floor-drain-trap-primers/pro-drain-trap-seal-insert/pro-drain-trap-seal.html","Spec Sheet"))</f>
        <v>Spec Sheet</v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/>
      <c r="B19" s="45" t="s">
        <v>127</v>
      </c>
      <c r="C19" s="33">
        <v>1</v>
      </c>
      <c r="D19" s="19">
        <v>84.89</v>
      </c>
      <c r="E19" s="16">
        <f>IF(TRUE,D19*$H$1,84.89)+0</f>
        <v>84.89</v>
      </c>
      <c r="F19" s="16">
        <f>C19*E19</f>
        <v>84.89</v>
      </c>
      <c r="G19" s="49"/>
      <c r="H19" s="47"/>
      <c r="I19" s="15"/>
    </row>
    <row r="20" spans="1:9" s="9" customFormat="1" ht="12" customHeight="1">
      <c r="A20" s="22"/>
      <c r="B20" s="46" t="str">
        <f>IF("http://www.pppinc.net/products/trap-primers/electronic-floor-drain-trap-primers/pro-drain-trap-seal-insert/pro-drain-trap-seal.html"="","",HYPERLINK("http://www.pppinc.net/products/trap-primers/electronic-floor-drain-trap-primers/pro-drain-trap-seal-insert/pro-drain-trap-seal.html","Spec Sheet"))</f>
        <v>Spec Sheet</v>
      </c>
      <c r="C20" s="24"/>
      <c r="D20" s="24"/>
      <c r="E20" s="24"/>
      <c r="F20" s="25"/>
      <c r="G20" s="48"/>
      <c r="H20" s="48"/>
      <c r="I20" s="8"/>
    </row>
    <row r="21" spans="1:9" s="9" customFormat="1" ht="165.75">
      <c r="A21" s="21"/>
      <c r="B21" s="45" t="s">
        <v>128</v>
      </c>
      <c r="C21" s="33">
        <v>1</v>
      </c>
      <c r="D21" s="19">
        <v>87.47</v>
      </c>
      <c r="E21" s="16">
        <f>IF(TRUE,D21*$H$1,87.47)+0</f>
        <v>87.47</v>
      </c>
      <c r="F21" s="16">
        <f>C21*E21</f>
        <v>87.47</v>
      </c>
      <c r="G21" s="49"/>
      <c r="H21" s="47"/>
      <c r="I21" s="15"/>
    </row>
    <row r="22" spans="1:9" s="9" customFormat="1" ht="12" customHeight="1">
      <c r="A22" s="22"/>
      <c r="B22" s="46" t="str">
        <f>IF("http://www.pppinc.net/products/trap-primers/electronic-floor-drain-trap-primers/pro-drain-trap-seal-insert/pro-drain-trap-seal.html"="","",HYPERLINK("http://www.pppinc.net/products/trap-primers/electronic-floor-drain-trap-primers/pro-drain-trap-seal-insert/pro-drain-trap-seal.html","Spec Sheet"))</f>
        <v>Spec Sheet</v>
      </c>
      <c r="C22" s="24"/>
      <c r="D22" s="24"/>
      <c r="E22" s="24"/>
      <c r="F22" s="25"/>
      <c r="G22" s="48"/>
      <c r="H22" s="48"/>
      <c r="I22" s="8"/>
    </row>
    <row r="23" spans="1:9" s="9" customFormat="1" ht="165.75">
      <c r="A23" s="21"/>
      <c r="B23" s="45" t="s">
        <v>129</v>
      </c>
      <c r="C23" s="33">
        <v>1</v>
      </c>
      <c r="D23" s="19">
        <v>105.48</v>
      </c>
      <c r="E23" s="16">
        <f>IF(TRUE,D23*$H$1,105.48)+0</f>
        <v>105.48</v>
      </c>
      <c r="F23" s="16">
        <f>C23*E23</f>
        <v>105.48</v>
      </c>
      <c r="G23" s="49"/>
      <c r="H23" s="47"/>
      <c r="I23" s="15"/>
    </row>
    <row r="24" spans="1:9" s="9" customFormat="1" ht="12" customHeight="1">
      <c r="A24" s="22"/>
      <c r="B24" s="46" t="str">
        <f>IF("http://www.pppinc.net/products/trap-primers/electronic-floor-drain-trap-primers/pro-drain-trap-seal-insert/pro-drain-trap-seal.html"="","",HYPERLINK("http://www.pppinc.net/products/trap-primers/electronic-floor-drain-trap-primers/pro-drain-trap-seal-insert/pro-drain-trap-seal.html","Spec Sheet"))</f>
        <v>Spec Sheet</v>
      </c>
      <c r="C24" s="24"/>
      <c r="D24" s="24"/>
      <c r="E24" s="24"/>
      <c r="F24" s="25"/>
      <c r="G24" s="48"/>
      <c r="H24" s="48"/>
      <c r="I24" s="8"/>
    </row>
    <row r="25" spans="1:9" s="9" customFormat="1" ht="165.75">
      <c r="A25" s="21" t="s">
        <v>84</v>
      </c>
      <c r="B25" s="20" t="s">
        <v>130</v>
      </c>
      <c r="C25" s="33"/>
      <c r="D25" s="19"/>
      <c r="E25" s="16">
        <f>IF(FALSE,D25*$H$1,0)+0</f>
        <v>0</v>
      </c>
      <c r="F25" s="16">
        <f>C25*E25</f>
        <v>0</v>
      </c>
      <c r="G25" s="49"/>
      <c r="H25" s="47"/>
      <c r="I25" s="15"/>
    </row>
    <row r="26" spans="1:9" s="9" customFormat="1" ht="12" customHeight="1">
      <c r="A26" s="22"/>
      <c r="B26" s="23" t="str">
        <f>IF("http://www.macdonaldsupply.com/customer/masuin/customerpages/web_resources/SPEC-M%2011110%20SPE.pdf"="","",HYPERLINK("http://www.macdonaldsupply.com/customer/masuin/customerpages/web_resources/SPEC-M%2011110%20SPE.pdf","Spec Sheet"))</f>
        <v>Spec Sheet</v>
      </c>
      <c r="C26" s="24"/>
      <c r="D26" s="24"/>
      <c r="E26" s="24"/>
      <c r="F26" s="25"/>
      <c r="G26" s="48"/>
      <c r="H26" s="48"/>
      <c r="I26" s="8"/>
    </row>
    <row r="27" spans="1:9" s="9" customFormat="1" ht="165.75">
      <c r="A27" s="21"/>
      <c r="B27" s="45" t="s">
        <v>131</v>
      </c>
      <c r="C27" s="33">
        <v>1</v>
      </c>
      <c r="D27" s="19">
        <v>18.93</v>
      </c>
      <c r="E27" s="16">
        <f>IF(TRUE,D27*$H$1,18.93)+0</f>
        <v>18.93</v>
      </c>
      <c r="F27" s="16">
        <f>C27*E27</f>
        <v>18.93</v>
      </c>
      <c r="G27" s="49"/>
      <c r="H27" s="47"/>
      <c r="I27" s="15"/>
    </row>
    <row r="28" spans="1:9" s="9" customFormat="1" ht="12" customHeight="1">
      <c r="A28" s="22"/>
      <c r="B28" s="46" t="str">
        <f>IF("http://www.pppinc.net/products/water-hammer-arrestors/mini-max-arrestors/mini-max-residential-single-fixture-aa/mini-max-mm-500th-threaded-residential-arrestor.html"="","",HYPERLINK("http://www.pppinc.net/products/water-hammer-arrestors/mini-max-arrestors/mini-max-residential-single-fixture-aa/mini-max-mm-500th-threaded-residential-arrestor.html","Spec Sheet"))</f>
        <v>Spec Sheet</v>
      </c>
      <c r="C28" s="24"/>
      <c r="D28" s="24"/>
      <c r="E28" s="24"/>
      <c r="F28" s="25"/>
      <c r="G28" s="48"/>
      <c r="H28" s="48"/>
      <c r="I28" s="8"/>
    </row>
    <row r="29" spans="1:9" s="9" customFormat="1" ht="165.75">
      <c r="A29" s="21"/>
      <c r="B29" s="45" t="s">
        <v>132</v>
      </c>
      <c r="C29" s="33">
        <v>1</v>
      </c>
      <c r="D29" s="19">
        <v>22.722</v>
      </c>
      <c r="E29" s="16">
        <f>IF(TRUE,D29*$H$1,22.722)+0</f>
        <v>22.722</v>
      </c>
      <c r="F29" s="16">
        <f>C29*E29</f>
        <v>22.722</v>
      </c>
      <c r="G29" s="49"/>
      <c r="H29" s="47"/>
      <c r="I29" s="15"/>
    </row>
    <row r="30" spans="1:9" s="9" customFormat="1" ht="12" customHeight="1">
      <c r="A30" s="22"/>
      <c r="B30" s="46" t="str">
        <f>IF("http://www.pppinc.net/products/water-hammer-arrestors/standard-water-hammer-arrestors/system-rated-threaded-connection/system-rated-threaded.html"="","",HYPERLINK("http://www.pppinc.net/products/water-hammer-arrestors/standard-water-hammer-arrestors/system-rated-threaded-connection/system-rated-threaded.html","Spec Sheet"))</f>
        <v>Spec Sheet</v>
      </c>
      <c r="C30" s="24"/>
      <c r="D30" s="24"/>
      <c r="E30" s="24"/>
      <c r="F30" s="25"/>
      <c r="G30" s="48"/>
      <c r="H30" s="48"/>
      <c r="I30" s="8"/>
    </row>
    <row r="31" spans="1:9" s="9" customFormat="1" ht="165.75">
      <c r="A31" s="21"/>
      <c r="B31" s="45" t="s">
        <v>133</v>
      </c>
      <c r="C31" s="33">
        <v>1</v>
      </c>
      <c r="D31" s="19">
        <v>29.0325</v>
      </c>
      <c r="E31" s="16">
        <f>IF(TRUE,D31*$H$1,29.0325)+0</f>
        <v>29.0325</v>
      </c>
      <c r="F31" s="16">
        <f>C31*E31</f>
        <v>29.0325</v>
      </c>
      <c r="G31" s="49"/>
      <c r="H31" s="47"/>
      <c r="I31" s="15"/>
    </row>
    <row r="32" spans="1:9" s="9" customFormat="1" ht="12" customHeight="1">
      <c r="A32" s="22"/>
      <c r="B32" s="46" t="str">
        <f>IF("http://www.pppinc.net/products/water-hammer-arrestors/standard-water-hammer-arrestors/system-rated-threaded-connection/system-rated-threaded.html"="","",HYPERLINK("http://www.pppinc.net/products/water-hammer-arrestors/standard-water-hammer-arrestors/system-rated-threaded-connection/system-rated-threaded.html","Spec Sheet"))</f>
        <v>Spec Sheet</v>
      </c>
      <c r="C32" s="24"/>
      <c r="D32" s="24"/>
      <c r="E32" s="24"/>
      <c r="F32" s="25"/>
      <c r="G32" s="48"/>
      <c r="H32" s="48"/>
      <c r="I32" s="8"/>
    </row>
    <row r="33" spans="1:9" s="9" customFormat="1" ht="165.75">
      <c r="A33" s="21"/>
      <c r="B33" s="45" t="s">
        <v>134</v>
      </c>
      <c r="C33" s="33">
        <v>1</v>
      </c>
      <c r="D33" s="19">
        <v>70.686</v>
      </c>
      <c r="E33" s="16">
        <f>IF(TRUE,D33*$H$1,70.686)+0</f>
        <v>70.686</v>
      </c>
      <c r="F33" s="16">
        <f>C33*E33</f>
        <v>70.686</v>
      </c>
      <c r="G33" s="49"/>
      <c r="H33" s="47"/>
      <c r="I33" s="15"/>
    </row>
    <row r="34" spans="1:9" s="9" customFormat="1" ht="12" customHeight="1">
      <c r="A34" s="22"/>
      <c r="B34" s="46" t="str">
        <f>IF("http://www.pppinc.net/products/water-hammer-arrestors/standard-water-hammer-arrestors/system-rated-threaded-connection/system-rated-threaded.html"="","",HYPERLINK("http://www.pppinc.net/products/water-hammer-arrestors/standard-water-hammer-arrestors/system-rated-threaded-connection/system-rated-threaded.html","Spec Sheet"))</f>
        <v>Spec Sheet</v>
      </c>
      <c r="C34" s="24"/>
      <c r="D34" s="24"/>
      <c r="E34" s="24"/>
      <c r="F34" s="25"/>
      <c r="G34" s="48"/>
      <c r="H34" s="48"/>
      <c r="I34" s="8"/>
    </row>
    <row r="35" spans="1:9" s="9" customFormat="1" ht="165.75">
      <c r="A35" s="21"/>
      <c r="B35" s="45" t="s">
        <v>135</v>
      </c>
      <c r="C35" s="33">
        <v>1</v>
      </c>
      <c r="D35" s="19">
        <v>94.668</v>
      </c>
      <c r="E35" s="16">
        <f>IF(TRUE,D35*$H$1,94.668)+0</f>
        <v>94.668</v>
      </c>
      <c r="F35" s="16">
        <f>C35*E35</f>
        <v>94.668</v>
      </c>
      <c r="G35" s="49"/>
      <c r="H35" s="47"/>
      <c r="I35" s="15"/>
    </row>
    <row r="36" spans="1:9" s="9" customFormat="1" ht="12" customHeight="1">
      <c r="A36" s="22"/>
      <c r="B36" s="46" t="str">
        <f>IF("http://www.pppinc.net/products/water-hammer-arrestors/standard-water-hammer-arrestors/system-rated-threaded-connection/system-rated-threaded.html"="","",HYPERLINK("http://www.pppinc.net/products/water-hammer-arrestors/standard-water-hammer-arrestors/system-rated-threaded-connection/system-rated-threaded.html","Spec Sheet"))</f>
        <v>Spec Sheet</v>
      </c>
      <c r="C36" s="24"/>
      <c r="D36" s="24"/>
      <c r="E36" s="24"/>
      <c r="F36" s="25"/>
      <c r="G36" s="48"/>
      <c r="H36" s="48"/>
      <c r="I36" s="8"/>
    </row>
    <row r="37" spans="1:9" s="9" customFormat="1" ht="165.75">
      <c r="A37" s="21"/>
      <c r="B37" s="45" t="s">
        <v>136</v>
      </c>
      <c r="C37" s="33">
        <v>1</v>
      </c>
      <c r="D37" s="19">
        <v>137.5815</v>
      </c>
      <c r="E37" s="16">
        <f>IF(TRUE,D37*$H$1,137.5815)+0</f>
        <v>137.5815</v>
      </c>
      <c r="F37" s="16">
        <f>C37*E37</f>
        <v>137.5815</v>
      </c>
      <c r="G37" s="49"/>
      <c r="H37" s="47"/>
      <c r="I37" s="15"/>
    </row>
    <row r="38" spans="1:9" s="9" customFormat="1" ht="12" customHeight="1">
      <c r="A38" s="22"/>
      <c r="B38" s="46" t="str">
        <f>IF("http://www.pppinc.net/products/water-hammer-arrestors/standard-water-hammer-arrestors/system-rated-threaded-connection/system-rated-threaded.html"="","",HYPERLINK("http://www.pppinc.net/products/water-hammer-arrestors/standard-water-hammer-arrestors/system-rated-threaded-connection/system-rated-threaded.html","Spec Sheet"))</f>
        <v>Spec Sheet</v>
      </c>
      <c r="C38" s="24"/>
      <c r="D38" s="24"/>
      <c r="E38" s="24"/>
      <c r="F38" s="25"/>
      <c r="G38" s="48"/>
      <c r="H38" s="48"/>
      <c r="I38" s="8"/>
    </row>
    <row r="39" spans="1:9" s="9" customFormat="1" ht="165.75">
      <c r="A39" s="21"/>
      <c r="B39" s="45" t="s">
        <v>137</v>
      </c>
      <c r="C39" s="33">
        <v>1</v>
      </c>
      <c r="D39" s="19">
        <v>203.2275</v>
      </c>
      <c r="E39" s="16">
        <f>IF(TRUE,D39*$H$1,203.2275)+0</f>
        <v>203.2275</v>
      </c>
      <c r="F39" s="16">
        <f>C39*E39</f>
        <v>203.2275</v>
      </c>
      <c r="G39" s="49"/>
      <c r="H39" s="47"/>
      <c r="I39" s="15"/>
    </row>
    <row r="40" spans="1:9" s="9" customFormat="1" ht="12" customHeight="1">
      <c r="A40" s="22"/>
      <c r="B40" s="46" t="str">
        <f>IF("http://www.pppinc.net/products/water-hammer-arrestors/standard-water-hammer-arrestors/system-rated-threaded-connection/system-rated-threaded.html"="","",HYPERLINK("http://www.pppinc.net/products/water-hammer-arrestors/standard-water-hammer-arrestors/system-rated-threaded-connection/system-rated-threaded.html","Spec Sheet"))</f>
        <v>Spec Sheet</v>
      </c>
      <c r="C40" s="24"/>
      <c r="D40" s="24"/>
      <c r="E40" s="24"/>
      <c r="F40" s="25"/>
      <c r="G40" s="48"/>
      <c r="H40" s="48"/>
      <c r="I40" s="8"/>
    </row>
    <row r="41" spans="1:9" s="43" customFormat="1" ht="11.25" customHeight="1" hidden="1">
      <c r="A41" s="38"/>
      <c r="B41" s="39"/>
      <c r="C41" s="40"/>
      <c r="D41" s="40"/>
      <c r="E41" s="40"/>
      <c r="F41" s="41"/>
      <c r="G41" s="42"/>
      <c r="H41" s="42"/>
      <c r="I41" s="42"/>
    </row>
    <row r="42" spans="1:9" s="43" customFormat="1" ht="11.25" customHeight="1">
      <c r="A42" s="38"/>
      <c r="B42" s="39"/>
      <c r="C42" s="40"/>
      <c r="D42" s="18" t="s">
        <v>4</v>
      </c>
      <c r="E42" s="18"/>
      <c r="F42" s="37">
        <f>SUBTOTAL(9,F17:F41)</f>
        <v>854.6875</v>
      </c>
      <c r="G42" s="42"/>
      <c r="H42" s="42"/>
      <c r="I42" s="42"/>
    </row>
    <row r="43" spans="1:9" s="43" customFormat="1" ht="11.25" customHeight="1">
      <c r="A43" s="38"/>
      <c r="B43" s="39"/>
      <c r="C43" s="40"/>
      <c r="D43" s="18"/>
      <c r="E43" s="18"/>
      <c r="F43" s="52"/>
      <c r="G43" s="42"/>
      <c r="H43" s="42"/>
      <c r="I43" s="42"/>
    </row>
    <row r="44" spans="1:9" s="43" customFormat="1" ht="12.75" customHeight="1">
      <c r="A44" s="53"/>
      <c r="B44" s="53"/>
      <c r="C44" s="53"/>
      <c r="D44" s="53"/>
      <c r="E44" s="53"/>
      <c r="F44" s="53"/>
      <c r="G44" s="51"/>
      <c r="H44" s="42"/>
      <c r="I44" s="42"/>
    </row>
  </sheetData>
  <sheetProtection/>
  <mergeCells count="1">
    <mergeCell ref="A44:F4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138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37</v>
      </c>
      <c r="B17" s="20" t="s">
        <v>139</v>
      </c>
      <c r="C17" s="33">
        <v>1</v>
      </c>
      <c r="D17" s="19">
        <v>13794</v>
      </c>
      <c r="E17" s="16">
        <f>IF(TRUE,D17*$H$1,13794)+0</f>
        <v>13794</v>
      </c>
      <c r="F17" s="16">
        <f>C17*E17</f>
        <v>13794</v>
      </c>
      <c r="G17" s="49"/>
      <c r="H17" s="47"/>
      <c r="I17" s="15"/>
    </row>
    <row r="18" spans="1:9" s="9" customFormat="1" ht="12" customHeight="1">
      <c r="A18" s="22"/>
      <c r="B18" s="23" t="str">
        <f>IF("http://www.statewaterheaters.com/lit/spec.html"="","",HYPERLINK("http://www.statewaterheaters.com/lit/spec.html","Spec Sheet"))</f>
        <v>Spec Sheet</v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37</v>
      </c>
      <c r="B19" s="20" t="s">
        <v>39</v>
      </c>
      <c r="C19" s="33">
        <v>1</v>
      </c>
      <c r="D19" s="19">
        <v>85</v>
      </c>
      <c r="E19" s="16">
        <f>IF(TRUE,D19*$H$1,85)+0</f>
        <v>85</v>
      </c>
      <c r="F19" s="16">
        <f>C19*E19</f>
        <v>85</v>
      </c>
      <c r="G19" s="49"/>
      <c r="H19" s="47"/>
      <c r="I19" s="15"/>
    </row>
    <row r="20" spans="1:9" s="9" customFormat="1" ht="12" customHeight="1">
      <c r="A20" s="22"/>
      <c r="B20" s="23">
        <f>IF(""="","",HYPERLINK("","Spec Sheet"))</f>
      </c>
      <c r="C20" s="24"/>
      <c r="D20" s="24"/>
      <c r="E20" s="24"/>
      <c r="F20" s="25"/>
      <c r="G20" s="48"/>
      <c r="H20" s="48"/>
      <c r="I20" s="8"/>
    </row>
    <row r="21" spans="1:9" s="43" customFormat="1" ht="11.25" customHeight="1" hidden="1">
      <c r="A21" s="38"/>
      <c r="B21" s="39"/>
      <c r="C21" s="40"/>
      <c r="D21" s="40"/>
      <c r="E21" s="40"/>
      <c r="F21" s="41"/>
      <c r="G21" s="42"/>
      <c r="H21" s="42"/>
      <c r="I21" s="42"/>
    </row>
    <row r="22" spans="1:9" s="43" customFormat="1" ht="11.25" customHeight="1">
      <c r="A22" s="38"/>
      <c r="B22" s="39"/>
      <c r="C22" s="40"/>
      <c r="D22" s="18" t="s">
        <v>4</v>
      </c>
      <c r="E22" s="18"/>
      <c r="F22" s="37">
        <f>SUBTOTAL(9,F17:F21)</f>
        <v>13879</v>
      </c>
      <c r="G22" s="42"/>
      <c r="H22" s="42"/>
      <c r="I22" s="42"/>
    </row>
    <row r="23" spans="1:9" s="43" customFormat="1" ht="11.25" customHeight="1">
      <c r="A23" s="38"/>
      <c r="B23" s="39"/>
      <c r="C23" s="40"/>
      <c r="D23" s="18"/>
      <c r="E23" s="18"/>
      <c r="F23" s="52"/>
      <c r="G23" s="42"/>
      <c r="H23" s="42"/>
      <c r="I23" s="42"/>
    </row>
    <row r="24" spans="1:9" s="43" customFormat="1" ht="12.75" customHeight="1">
      <c r="A24" s="53"/>
      <c r="B24" s="53"/>
      <c r="C24" s="53"/>
      <c r="D24" s="53"/>
      <c r="E24" s="53"/>
      <c r="F24" s="53"/>
      <c r="G24" s="51"/>
      <c r="H24" s="42"/>
      <c r="I24" s="42"/>
    </row>
  </sheetData>
  <sheetProtection/>
  <mergeCells count="1">
    <mergeCell ref="A24:F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140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141</v>
      </c>
      <c r="B17" s="20" t="s">
        <v>142</v>
      </c>
      <c r="C17" s="33">
        <v>1</v>
      </c>
      <c r="D17" s="19">
        <v>270.5</v>
      </c>
      <c r="E17" s="16">
        <f>IF(TRUE,D17*$H$1,270.5)+0</f>
        <v>270.5</v>
      </c>
      <c r="F17" s="16">
        <f>C17*E17</f>
        <v>270.5</v>
      </c>
      <c r="G17" s="49"/>
      <c r="H17" s="47"/>
      <c r="I17" s="15"/>
    </row>
    <row r="18" spans="1:9" s="9" customFormat="1" ht="12" customHeight="1">
      <c r="A18" s="22"/>
      <c r="B18" s="23">
        <f>IF(""="","",HYPERLINK("","Spec Sheet"))</f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37</v>
      </c>
      <c r="B19" s="20" t="s">
        <v>143</v>
      </c>
      <c r="C19" s="33">
        <v>1</v>
      </c>
      <c r="D19" s="19">
        <v>881</v>
      </c>
      <c r="E19" s="16">
        <f>IF(TRUE,D19*$H$1,881)+0</f>
        <v>881</v>
      </c>
      <c r="F19" s="16">
        <f>C19*E19</f>
        <v>881</v>
      </c>
      <c r="G19" s="49"/>
      <c r="H19" s="47"/>
      <c r="I19" s="15"/>
    </row>
    <row r="20" spans="1:9" s="9" customFormat="1" ht="12" customHeight="1">
      <c r="A20" s="22"/>
      <c r="B20" s="23" t="str">
        <f>IF("https://www.taco-hvac.com/uploads/FileLibrary/100-29.pdf"="","",HYPERLINK("https://www.taco-hvac.com/uploads/FileLibrary/100-29.pdf","Spec Sheet"))</f>
        <v>Spec Sheet</v>
      </c>
      <c r="C20" s="24"/>
      <c r="D20" s="24"/>
      <c r="E20" s="24"/>
      <c r="F20" s="25"/>
      <c r="G20" s="48"/>
      <c r="H20" s="48"/>
      <c r="I20" s="8"/>
    </row>
    <row r="21" spans="1:9" s="9" customFormat="1" ht="165.75">
      <c r="A21" s="21" t="s">
        <v>37</v>
      </c>
      <c r="B21" s="20" t="s">
        <v>144</v>
      </c>
      <c r="C21" s="33"/>
      <c r="D21" s="19"/>
      <c r="E21" s="16">
        <f>IF(FALSE,D21*$H$1,0)+0</f>
        <v>0</v>
      </c>
      <c r="F21" s="16">
        <f>C21*E21</f>
        <v>0</v>
      </c>
      <c r="G21" s="49"/>
      <c r="H21" s="47"/>
      <c r="I21" s="15"/>
    </row>
    <row r="22" spans="1:9" s="9" customFormat="1" ht="12" customHeight="1">
      <c r="A22" s="22"/>
      <c r="B22" s="23">
        <f>IF(""="","",HYPERLINK("","Spec Sheet"))</f>
      </c>
      <c r="C22" s="24"/>
      <c r="D22" s="24"/>
      <c r="E22" s="24"/>
      <c r="F22" s="25"/>
      <c r="G22" s="48"/>
      <c r="H22" s="48"/>
      <c r="I22" s="8"/>
    </row>
    <row r="23" spans="1:9" s="9" customFormat="1" ht="165.75">
      <c r="A23" s="21"/>
      <c r="B23" s="45" t="s">
        <v>145</v>
      </c>
      <c r="C23" s="33">
        <v>1</v>
      </c>
      <c r="D23" s="19">
        <v>73.9</v>
      </c>
      <c r="E23" s="16">
        <f>IF(TRUE,D23*$H$1,73.9)+0</f>
        <v>73.9</v>
      </c>
      <c r="F23" s="16">
        <f>C23*E23</f>
        <v>73.9</v>
      </c>
      <c r="G23" s="49"/>
      <c r="H23" s="47"/>
      <c r="I23" s="15"/>
    </row>
    <row r="24" spans="1:9" s="9" customFormat="1" ht="12" customHeight="1">
      <c r="A24" s="22"/>
      <c r="B24" s="46">
        <f>IF(""="","",HYPERLINK("","Spec Sheet"))</f>
      </c>
      <c r="C24" s="24"/>
      <c r="D24" s="24"/>
      <c r="E24" s="24"/>
      <c r="F24" s="25"/>
      <c r="G24" s="48"/>
      <c r="H24" s="48"/>
      <c r="I24" s="8"/>
    </row>
    <row r="25" spans="1:9" s="9" customFormat="1" ht="165.75">
      <c r="A25" s="21"/>
      <c r="B25" s="45" t="s">
        <v>146</v>
      </c>
      <c r="C25" s="33">
        <v>1</v>
      </c>
      <c r="D25" s="19">
        <v>251.5</v>
      </c>
      <c r="E25" s="16">
        <f>IF(TRUE,D25*$H$1,251.5)+0</f>
        <v>251.5</v>
      </c>
      <c r="F25" s="16">
        <f>C25*E25</f>
        <v>251.5</v>
      </c>
      <c r="G25" s="49"/>
      <c r="H25" s="47"/>
      <c r="I25" s="15"/>
    </row>
    <row r="26" spans="1:9" s="9" customFormat="1" ht="12" customHeight="1">
      <c r="A26" s="22"/>
      <c r="B26" s="46">
        <f>IF(""="","",HYPERLINK("","Spec Sheet"))</f>
      </c>
      <c r="C26" s="24"/>
      <c r="D26" s="24"/>
      <c r="E26" s="24"/>
      <c r="F26" s="25"/>
      <c r="G26" s="48"/>
      <c r="H26" s="48"/>
      <c r="I26" s="8"/>
    </row>
    <row r="27" spans="1:9" s="43" customFormat="1" ht="11.25" customHeight="1" hidden="1">
      <c r="A27" s="38"/>
      <c r="B27" s="39"/>
      <c r="C27" s="40"/>
      <c r="D27" s="40"/>
      <c r="E27" s="40"/>
      <c r="F27" s="41"/>
      <c r="G27" s="42"/>
      <c r="H27" s="42"/>
      <c r="I27" s="42"/>
    </row>
    <row r="28" spans="1:9" s="43" customFormat="1" ht="11.25" customHeight="1">
      <c r="A28" s="38"/>
      <c r="B28" s="39"/>
      <c r="C28" s="40"/>
      <c r="D28" s="18" t="s">
        <v>4</v>
      </c>
      <c r="E28" s="18"/>
      <c r="F28" s="37">
        <f>SUBTOTAL(9,F17:F27)</f>
        <v>1476.9</v>
      </c>
      <c r="G28" s="42"/>
      <c r="H28" s="42"/>
      <c r="I28" s="42"/>
    </row>
    <row r="29" spans="1:9" s="43" customFormat="1" ht="11.25" customHeight="1">
      <c r="A29" s="38"/>
      <c r="B29" s="39"/>
      <c r="C29" s="40"/>
      <c r="D29" s="18"/>
      <c r="E29" s="18"/>
      <c r="F29" s="52"/>
      <c r="G29" s="42"/>
      <c r="H29" s="42"/>
      <c r="I29" s="42"/>
    </row>
    <row r="30" spans="1:9" s="43" customFormat="1" ht="12.75" customHeight="1">
      <c r="A30" s="53"/>
      <c r="B30" s="53"/>
      <c r="C30" s="53"/>
      <c r="D30" s="53"/>
      <c r="E30" s="53"/>
      <c r="F30" s="53"/>
      <c r="G30" s="51"/>
      <c r="H30" s="42"/>
      <c r="I30" s="42"/>
    </row>
  </sheetData>
  <sheetProtection/>
  <mergeCells count="1">
    <mergeCell ref="A30:F3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147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148</v>
      </c>
      <c r="B17" s="20" t="s">
        <v>149</v>
      </c>
      <c r="C17" s="33">
        <v>1</v>
      </c>
      <c r="D17" s="19">
        <v>347</v>
      </c>
      <c r="E17" s="16">
        <f>IF(TRUE,D17*$H$1,347)+0</f>
        <v>347</v>
      </c>
      <c r="F17" s="16">
        <f>C17*E17</f>
        <v>347</v>
      </c>
      <c r="G17" s="49"/>
      <c r="H17" s="47"/>
      <c r="I17" s="15"/>
    </row>
    <row r="18" spans="1:9" s="9" customFormat="1" ht="12" customHeight="1">
      <c r="A18" s="22"/>
      <c r="B18" s="23">
        <f>IF(""="","",HYPERLINK("","Spec Sheet"))</f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150</v>
      </c>
      <c r="B19" s="20" t="s">
        <v>151</v>
      </c>
      <c r="C19" s="33">
        <v>1</v>
      </c>
      <c r="D19" s="19">
        <v>248</v>
      </c>
      <c r="E19" s="16">
        <f>IF(TRUE,D19*$H$1,248)+0</f>
        <v>248</v>
      </c>
      <c r="F19" s="16">
        <f>C19*E19</f>
        <v>248</v>
      </c>
      <c r="G19" s="49"/>
      <c r="H19" s="47"/>
      <c r="I19" s="15"/>
    </row>
    <row r="20" spans="1:9" s="9" customFormat="1" ht="12" customHeight="1">
      <c r="A20" s="22"/>
      <c r="B20" s="23">
        <f>IF(""="","",HYPERLINK("","Spec Sheet"))</f>
      </c>
      <c r="C20" s="24"/>
      <c r="D20" s="24"/>
      <c r="E20" s="24"/>
      <c r="F20" s="25"/>
      <c r="G20" s="48"/>
      <c r="H20" s="48"/>
      <c r="I20" s="8"/>
    </row>
    <row r="21" spans="1:9" s="9" customFormat="1" ht="165.75">
      <c r="A21" s="21" t="s">
        <v>152</v>
      </c>
      <c r="B21" s="20" t="s">
        <v>153</v>
      </c>
      <c r="C21" s="33">
        <v>1</v>
      </c>
      <c r="D21" s="19">
        <v>304</v>
      </c>
      <c r="E21" s="16">
        <f>IF(TRUE,D21*$H$1,304)+0</f>
        <v>304</v>
      </c>
      <c r="F21" s="16">
        <f>C21*E21</f>
        <v>304</v>
      </c>
      <c r="G21" s="49"/>
      <c r="H21" s="47"/>
      <c r="I21" s="15"/>
    </row>
    <row r="22" spans="1:9" s="9" customFormat="1" ht="12" customHeight="1">
      <c r="A22" s="22"/>
      <c r="B22" s="23">
        <f>IF(""="","",HYPERLINK("","Spec Sheet"))</f>
      </c>
      <c r="C22" s="24"/>
      <c r="D22" s="24"/>
      <c r="E22" s="24"/>
      <c r="F22" s="25"/>
      <c r="G22" s="48"/>
      <c r="H22" s="48"/>
      <c r="I22" s="8"/>
    </row>
    <row r="23" spans="1:9" s="9" customFormat="1" ht="165.75">
      <c r="A23" s="21" t="s">
        <v>64</v>
      </c>
      <c r="B23" s="20" t="s">
        <v>154</v>
      </c>
      <c r="C23" s="33">
        <v>1</v>
      </c>
      <c r="D23" s="19">
        <v>180</v>
      </c>
      <c r="E23" s="16">
        <f>IF(TRUE,D23*$H$1,180)+0</f>
        <v>180</v>
      </c>
      <c r="F23" s="16">
        <f>C23*E23</f>
        <v>180</v>
      </c>
      <c r="G23" s="49"/>
      <c r="H23" s="47"/>
      <c r="I23" s="15"/>
    </row>
    <row r="24" spans="1:9" s="9" customFormat="1" ht="12" customHeight="1">
      <c r="A24" s="22"/>
      <c r="B24" s="23">
        <f>IF(""="","",HYPERLINK("","Spec Sheet"))</f>
      </c>
      <c r="C24" s="24"/>
      <c r="D24" s="24"/>
      <c r="E24" s="24"/>
      <c r="F24" s="25"/>
      <c r="G24" s="48"/>
      <c r="H24" s="48"/>
      <c r="I24" s="8"/>
    </row>
    <row r="25" spans="1:9" s="43" customFormat="1" ht="11.25" customHeight="1" hidden="1">
      <c r="A25" s="38"/>
      <c r="B25" s="39"/>
      <c r="C25" s="40"/>
      <c r="D25" s="40"/>
      <c r="E25" s="40"/>
      <c r="F25" s="41"/>
      <c r="G25" s="42"/>
      <c r="H25" s="42"/>
      <c r="I25" s="42"/>
    </row>
    <row r="26" spans="1:9" s="43" customFormat="1" ht="11.25" customHeight="1">
      <c r="A26" s="38"/>
      <c r="B26" s="39"/>
      <c r="C26" s="40"/>
      <c r="D26" s="18" t="s">
        <v>4</v>
      </c>
      <c r="E26" s="18"/>
      <c r="F26" s="37">
        <f>SUBTOTAL(9,F17:F25)</f>
        <v>1079</v>
      </c>
      <c r="G26" s="42"/>
      <c r="H26" s="42"/>
      <c r="I26" s="42"/>
    </row>
    <row r="27" spans="1:9" s="43" customFormat="1" ht="11.25" customHeight="1">
      <c r="A27" s="38"/>
      <c r="B27" s="39"/>
      <c r="C27" s="40"/>
      <c r="D27" s="18"/>
      <c r="E27" s="18"/>
      <c r="F27" s="52"/>
      <c r="G27" s="42"/>
      <c r="H27" s="42"/>
      <c r="I27" s="42"/>
    </row>
    <row r="28" spans="1:9" s="43" customFormat="1" ht="12.75" customHeight="1">
      <c r="A28" s="53"/>
      <c r="B28" s="53"/>
      <c r="C28" s="53"/>
      <c r="D28" s="53"/>
      <c r="E28" s="53"/>
      <c r="F28" s="53"/>
      <c r="G28" s="51"/>
      <c r="H28" s="42"/>
      <c r="I28" s="42"/>
    </row>
  </sheetData>
  <sheetProtection/>
  <mergeCells count="1">
    <mergeCell ref="A28:F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155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101</v>
      </c>
      <c r="B17" s="20" t="s">
        <v>156</v>
      </c>
      <c r="C17" s="33">
        <v>1</v>
      </c>
      <c r="D17" s="19">
        <v>285</v>
      </c>
      <c r="E17" s="16">
        <f>IF(TRUE,D17*$H$1,285)+0</f>
        <v>285</v>
      </c>
      <c r="F17" s="16">
        <f>C17*E17</f>
        <v>285</v>
      </c>
      <c r="G17" s="49"/>
      <c r="H17" s="47"/>
      <c r="I17" s="15"/>
    </row>
    <row r="18" spans="1:9" s="9" customFormat="1" ht="12" customHeight="1">
      <c r="A18" s="22"/>
      <c r="B18" s="23">
        <f>IF(""="","",HYPERLINK("","Spec Sheet"))</f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101</v>
      </c>
      <c r="B19" s="20" t="s">
        <v>157</v>
      </c>
      <c r="C19" s="33">
        <v>1</v>
      </c>
      <c r="D19" s="19">
        <v>16</v>
      </c>
      <c r="E19" s="16">
        <f>IF(TRUE,D19*$H$1,16)+0</f>
        <v>16</v>
      </c>
      <c r="F19" s="16">
        <f>C19*E19</f>
        <v>16</v>
      </c>
      <c r="G19" s="49"/>
      <c r="H19" s="47"/>
      <c r="I19" s="15"/>
    </row>
    <row r="20" spans="1:9" s="9" customFormat="1" ht="12" customHeight="1">
      <c r="A20" s="22"/>
      <c r="B20" s="23">
        <f>IF(""="","",HYPERLINK("","Spec Sheet"))</f>
      </c>
      <c r="C20" s="24"/>
      <c r="D20" s="24"/>
      <c r="E20" s="24"/>
      <c r="F20" s="25"/>
      <c r="G20" s="48"/>
      <c r="H20" s="48"/>
      <c r="I20" s="8"/>
    </row>
    <row r="21" spans="1:9" s="9" customFormat="1" ht="165.75">
      <c r="A21" s="21"/>
      <c r="B21" s="45" t="s">
        <v>158</v>
      </c>
      <c r="C21" s="33">
        <v>1</v>
      </c>
      <c r="D21" s="19">
        <v>43</v>
      </c>
      <c r="E21" s="16">
        <f>IF(TRUE,D21*$H$1,43)+0</f>
        <v>43</v>
      </c>
      <c r="F21" s="16">
        <f>C21*E21</f>
        <v>43</v>
      </c>
      <c r="G21" s="49"/>
      <c r="H21" s="47"/>
      <c r="I21" s="15"/>
    </row>
    <row r="22" spans="1:9" s="9" customFormat="1" ht="12" customHeight="1">
      <c r="A22" s="22"/>
      <c r="B22" s="46" t="str">
        <f>IF("http://catalog.tsbrass.com/"="","",HYPERLINK("http://catalog.tsbrass.com/","Spec Sheet"))</f>
        <v>Spec Sheet</v>
      </c>
      <c r="C22" s="24"/>
      <c r="D22" s="24"/>
      <c r="E22" s="24"/>
      <c r="F22" s="25"/>
      <c r="G22" s="48"/>
      <c r="H22" s="48"/>
      <c r="I22" s="8"/>
    </row>
    <row r="23" spans="1:9" s="9" customFormat="1" ht="165.75">
      <c r="A23" s="21"/>
      <c r="B23" s="45" t="s">
        <v>159</v>
      </c>
      <c r="C23" s="33">
        <v>1</v>
      </c>
      <c r="D23" s="19">
        <v>54</v>
      </c>
      <c r="E23" s="16">
        <f>IF(TRUE,D23*$H$1,54)+0</f>
        <v>54</v>
      </c>
      <c r="F23" s="16">
        <f>C23*E23</f>
        <v>54</v>
      </c>
      <c r="G23" s="49"/>
      <c r="H23" s="47"/>
      <c r="I23" s="15"/>
    </row>
    <row r="24" spans="1:9" s="9" customFormat="1" ht="12" customHeight="1">
      <c r="A24" s="22"/>
      <c r="B24" s="46" t="str">
        <f>IF("http://catalog.tsbrass.com/"="","",HYPERLINK("http://catalog.tsbrass.com/","Spec Sheet"))</f>
        <v>Spec Sheet</v>
      </c>
      <c r="C24" s="24"/>
      <c r="D24" s="24"/>
      <c r="E24" s="24"/>
      <c r="F24" s="25"/>
      <c r="G24" s="48"/>
      <c r="H24" s="48"/>
      <c r="I24" s="8"/>
    </row>
    <row r="25" spans="1:9" s="9" customFormat="1" ht="165.75">
      <c r="A25" s="21" t="s">
        <v>48</v>
      </c>
      <c r="B25" s="20" t="s">
        <v>160</v>
      </c>
      <c r="C25" s="33">
        <v>1</v>
      </c>
      <c r="D25" s="19">
        <v>324.5</v>
      </c>
      <c r="E25" s="16">
        <f>IF(TRUE,D25*$H$1,324.5)+0</f>
        <v>324.5</v>
      </c>
      <c r="F25" s="16">
        <f>C25*E25</f>
        <v>324.5</v>
      </c>
      <c r="G25" s="49"/>
      <c r="H25" s="47"/>
      <c r="I25" s="15"/>
    </row>
    <row r="26" spans="1:9" s="9" customFormat="1" ht="12" customHeight="1">
      <c r="A26" s="22"/>
      <c r="B26" s="23" t="str">
        <f>IF("http://catalog.tsbrass.com/specs/B-0600/B-0665-BSTP.pdf"="","",HYPERLINK("http://catalog.tsbrass.com/specs/B-0600/B-0665-BSTP.pdf","Spec Sheet"))</f>
        <v>Spec Sheet</v>
      </c>
      <c r="C26" s="24"/>
      <c r="D26" s="24"/>
      <c r="E26" s="24"/>
      <c r="F26" s="25"/>
      <c r="G26" s="48"/>
      <c r="H26" s="48"/>
      <c r="I26" s="8"/>
    </row>
    <row r="27" spans="1:9" s="9" customFormat="1" ht="165.75">
      <c r="A27" s="21" t="s">
        <v>48</v>
      </c>
      <c r="B27" s="20" t="s">
        <v>161</v>
      </c>
      <c r="C27" s="33">
        <v>1</v>
      </c>
      <c r="D27" s="19">
        <v>87.4</v>
      </c>
      <c r="E27" s="16">
        <f>IF(TRUE,D27*$H$1,87.4)+0</f>
        <v>87.4</v>
      </c>
      <c r="F27" s="16">
        <f>C27*E27</f>
        <v>87.4</v>
      </c>
      <c r="G27" s="49"/>
      <c r="H27" s="47"/>
      <c r="I27" s="15"/>
    </row>
    <row r="28" spans="1:9" s="9" customFormat="1" ht="12" customHeight="1">
      <c r="A28" s="22"/>
      <c r="B28" s="23" t="str">
        <f>IF("http://catalog.tsbrass.com/specs/B-0600/B-0653.pdf"="","",HYPERLINK("http://catalog.tsbrass.com/specs/B-0600/B-0653.pdf","Spec Sheet"))</f>
        <v>Spec Sheet</v>
      </c>
      <c r="C28" s="24"/>
      <c r="D28" s="24"/>
      <c r="E28" s="24"/>
      <c r="F28" s="25"/>
      <c r="G28" s="48"/>
      <c r="H28" s="48"/>
      <c r="I28" s="8"/>
    </row>
    <row r="29" spans="1:9" s="9" customFormat="1" ht="165.75">
      <c r="A29" s="21" t="s">
        <v>115</v>
      </c>
      <c r="B29" s="20" t="s">
        <v>162</v>
      </c>
      <c r="C29" s="33">
        <v>1</v>
      </c>
      <c r="D29" s="19">
        <v>189</v>
      </c>
      <c r="E29" s="16">
        <f>IF(TRUE,D29*$H$1,189)+0</f>
        <v>189</v>
      </c>
      <c r="F29" s="16">
        <f>C29*E29</f>
        <v>189</v>
      </c>
      <c r="G29" s="49"/>
      <c r="H29" s="47"/>
      <c r="I29" s="15"/>
    </row>
    <row r="30" spans="1:9" s="9" customFormat="1" ht="12" customHeight="1">
      <c r="A30" s="22"/>
      <c r="B30" s="23" t="str">
        <f>IF("http://catalog.tsbrass.com/"="","",HYPERLINK("http://catalog.tsbrass.com/","Spec Sheet"))</f>
        <v>Spec Sheet</v>
      </c>
      <c r="C30" s="24"/>
      <c r="D30" s="24"/>
      <c r="E30" s="24"/>
      <c r="F30" s="25"/>
      <c r="G30" s="48"/>
      <c r="H30" s="48"/>
      <c r="I30" s="8"/>
    </row>
    <row r="31" spans="1:9" s="9" customFormat="1" ht="165.75">
      <c r="A31" s="21" t="s">
        <v>115</v>
      </c>
      <c r="B31" s="20" t="s">
        <v>163</v>
      </c>
      <c r="C31" s="33">
        <v>1</v>
      </c>
      <c r="D31" s="19">
        <v>83.3</v>
      </c>
      <c r="E31" s="16">
        <f>IF(TRUE,D31*$H$1,83.3)+0</f>
        <v>83.3</v>
      </c>
      <c r="F31" s="16">
        <f>C31*E31</f>
        <v>83.3</v>
      </c>
      <c r="G31" s="49"/>
      <c r="H31" s="47"/>
      <c r="I31" s="15"/>
    </row>
    <row r="32" spans="1:9" s="9" customFormat="1" ht="12" customHeight="1">
      <c r="A32" s="22"/>
      <c r="B32" s="23" t="str">
        <f>IF("http://catalog.tsbrass.com/"="","",HYPERLINK("http://catalog.tsbrass.com/","Spec Sheet"))</f>
        <v>Spec Sheet</v>
      </c>
      <c r="C32" s="24"/>
      <c r="D32" s="24"/>
      <c r="E32" s="24"/>
      <c r="F32" s="25"/>
      <c r="G32" s="48"/>
      <c r="H32" s="48"/>
      <c r="I32" s="8"/>
    </row>
    <row r="33" spans="1:9" s="9" customFormat="1" ht="165.75">
      <c r="A33" s="21" t="s">
        <v>115</v>
      </c>
      <c r="B33" s="20" t="s">
        <v>164</v>
      </c>
      <c r="C33" s="33">
        <v>1</v>
      </c>
      <c r="D33" s="19">
        <v>16</v>
      </c>
      <c r="E33" s="16">
        <f>IF(TRUE,D33*$H$1,16)+0</f>
        <v>16</v>
      </c>
      <c r="F33" s="16">
        <f>C33*E33</f>
        <v>16</v>
      </c>
      <c r="G33" s="49"/>
      <c r="H33" s="47"/>
      <c r="I33" s="15"/>
    </row>
    <row r="34" spans="1:9" s="9" customFormat="1" ht="12" customHeight="1">
      <c r="A34" s="22"/>
      <c r="B34" s="23" t="str">
        <f>IF("http://catalog.tsbrass.com/"="","",HYPERLINK("http://catalog.tsbrass.com/","Spec Sheet"))</f>
        <v>Spec Sheet</v>
      </c>
      <c r="C34" s="24"/>
      <c r="D34" s="24"/>
      <c r="E34" s="24"/>
      <c r="F34" s="25"/>
      <c r="G34" s="48"/>
      <c r="H34" s="48"/>
      <c r="I34" s="8"/>
    </row>
    <row r="35" spans="1:9" s="9" customFormat="1" ht="165.75">
      <c r="A35" s="21" t="s">
        <v>165</v>
      </c>
      <c r="B35" s="20" t="s">
        <v>166</v>
      </c>
      <c r="C35" s="33">
        <v>1</v>
      </c>
      <c r="D35" s="19">
        <v>705</v>
      </c>
      <c r="E35" s="16">
        <f>IF(TRUE,D35*$H$1,705)+0</f>
        <v>705</v>
      </c>
      <c r="F35" s="16">
        <f>C35*E35</f>
        <v>705</v>
      </c>
      <c r="G35" s="49"/>
      <c r="H35" s="47"/>
      <c r="I35" s="15"/>
    </row>
    <row r="36" spans="1:9" s="9" customFormat="1" ht="12" customHeight="1">
      <c r="A36" s="22"/>
      <c r="B36" s="23" t="str">
        <f>IF("http://catalog.tsbrass.com/"="","",HYPERLINK("http://catalog.tsbrass.com/","Spec Sheet"))</f>
        <v>Spec Sheet</v>
      </c>
      <c r="C36" s="24"/>
      <c r="D36" s="24"/>
      <c r="E36" s="24"/>
      <c r="F36" s="25"/>
      <c r="G36" s="48"/>
      <c r="H36" s="48"/>
      <c r="I36" s="8"/>
    </row>
    <row r="37" spans="1:9" s="9" customFormat="1" ht="165.75">
      <c r="A37" s="21" t="s">
        <v>165</v>
      </c>
      <c r="B37" s="20" t="s">
        <v>167</v>
      </c>
      <c r="C37" s="33">
        <v>1</v>
      </c>
      <c r="D37" s="19">
        <v>141</v>
      </c>
      <c r="E37" s="16">
        <f>IF(TRUE,D37*$H$1,141)+0</f>
        <v>141</v>
      </c>
      <c r="F37" s="16">
        <f>C37*E37</f>
        <v>141</v>
      </c>
      <c r="G37" s="49"/>
      <c r="H37" s="47"/>
      <c r="I37" s="15"/>
    </row>
    <row r="38" spans="1:9" s="9" customFormat="1" ht="12" customHeight="1">
      <c r="A38" s="22"/>
      <c r="B38" s="23" t="str">
        <f>IF("http://catalog.tsbrass.com/"="","",HYPERLINK("http://catalog.tsbrass.com/","Spec Sheet"))</f>
        <v>Spec Sheet</v>
      </c>
      <c r="C38" s="24"/>
      <c r="D38" s="24"/>
      <c r="E38" s="24"/>
      <c r="F38" s="25"/>
      <c r="G38" s="48"/>
      <c r="H38" s="48"/>
      <c r="I38" s="8"/>
    </row>
    <row r="39" spans="1:9" s="43" customFormat="1" ht="11.25" customHeight="1" hidden="1">
      <c r="A39" s="38"/>
      <c r="B39" s="39"/>
      <c r="C39" s="40"/>
      <c r="D39" s="40"/>
      <c r="E39" s="40"/>
      <c r="F39" s="41"/>
      <c r="G39" s="42"/>
      <c r="H39" s="42"/>
      <c r="I39" s="42"/>
    </row>
    <row r="40" spans="1:9" s="43" customFormat="1" ht="11.25" customHeight="1">
      <c r="A40" s="38"/>
      <c r="B40" s="39"/>
      <c r="C40" s="40"/>
      <c r="D40" s="18" t="s">
        <v>4</v>
      </c>
      <c r="E40" s="18"/>
      <c r="F40" s="37">
        <f>SUBTOTAL(9,F17:F39)</f>
        <v>1944.2</v>
      </c>
      <c r="G40" s="42"/>
      <c r="H40" s="42"/>
      <c r="I40" s="42"/>
    </row>
    <row r="41" spans="1:9" s="43" customFormat="1" ht="11.25" customHeight="1">
      <c r="A41" s="38"/>
      <c r="B41" s="39"/>
      <c r="C41" s="40"/>
      <c r="D41" s="18"/>
      <c r="E41" s="18"/>
      <c r="F41" s="52"/>
      <c r="G41" s="42"/>
      <c r="H41" s="42"/>
      <c r="I41" s="42"/>
    </row>
    <row r="42" spans="1:9" s="43" customFormat="1" ht="12.75" customHeight="1">
      <c r="A42" s="53"/>
      <c r="B42" s="53"/>
      <c r="C42" s="53"/>
      <c r="D42" s="53"/>
      <c r="E42" s="53"/>
      <c r="F42" s="53"/>
      <c r="G42" s="51"/>
      <c r="H42" s="42"/>
      <c r="I42" s="42"/>
    </row>
  </sheetData>
  <sheetProtection/>
  <mergeCells count="1">
    <mergeCell ref="A42:F4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36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37</v>
      </c>
      <c r="B17" s="20" t="s">
        <v>38</v>
      </c>
      <c r="C17" s="33">
        <v>1</v>
      </c>
      <c r="D17" s="19">
        <v>13794</v>
      </c>
      <c r="E17" s="16">
        <f>IF(TRUE,D17*$H$1,13794)+0</f>
        <v>13794</v>
      </c>
      <c r="F17" s="16">
        <f>C17*E17</f>
        <v>13794</v>
      </c>
      <c r="G17" s="49"/>
      <c r="H17" s="47"/>
      <c r="I17" s="15"/>
    </row>
    <row r="18" spans="1:9" s="9" customFormat="1" ht="12" customHeight="1">
      <c r="A18" s="22"/>
      <c r="B18" s="23" t="str">
        <f>IF("http://www.hotwater.com/resources/product-literature/spec-sheets/"="","",HYPERLINK("http://www.hotwater.com/resources/product-literature/spec-sheets/","Spec Sheet"))</f>
        <v>Spec Sheet</v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37</v>
      </c>
      <c r="B19" s="20" t="s">
        <v>39</v>
      </c>
      <c r="C19" s="33">
        <v>1</v>
      </c>
      <c r="D19" s="19">
        <v>85</v>
      </c>
      <c r="E19" s="16">
        <f>IF(TRUE,D19*$H$1,85)+0</f>
        <v>85</v>
      </c>
      <c r="F19" s="16">
        <f>C19*E19</f>
        <v>85</v>
      </c>
      <c r="G19" s="49"/>
      <c r="H19" s="47"/>
      <c r="I19" s="15"/>
    </row>
    <row r="20" spans="1:9" s="9" customFormat="1" ht="12" customHeight="1">
      <c r="A20" s="22"/>
      <c r="B20" s="23">
        <f>IF(""="","",HYPERLINK("","Spec Sheet"))</f>
      </c>
      <c r="C20" s="24"/>
      <c r="D20" s="24"/>
      <c r="E20" s="24"/>
      <c r="F20" s="25"/>
      <c r="G20" s="48"/>
      <c r="H20" s="48"/>
      <c r="I20" s="8"/>
    </row>
    <row r="21" spans="1:9" s="43" customFormat="1" ht="11.25" customHeight="1" hidden="1">
      <c r="A21" s="38"/>
      <c r="B21" s="39"/>
      <c r="C21" s="40"/>
      <c r="D21" s="40"/>
      <c r="E21" s="40"/>
      <c r="F21" s="41"/>
      <c r="G21" s="42"/>
      <c r="H21" s="42"/>
      <c r="I21" s="42"/>
    </row>
    <row r="22" spans="1:9" s="43" customFormat="1" ht="11.25" customHeight="1">
      <c r="A22" s="38"/>
      <c r="B22" s="39"/>
      <c r="C22" s="40"/>
      <c r="D22" s="18" t="s">
        <v>4</v>
      </c>
      <c r="E22" s="18"/>
      <c r="F22" s="37">
        <f>SUBTOTAL(9,F17:F21)</f>
        <v>13879</v>
      </c>
      <c r="G22" s="42"/>
      <c r="H22" s="42"/>
      <c r="I22" s="42"/>
    </row>
    <row r="23" spans="1:9" s="43" customFormat="1" ht="11.25" customHeight="1">
      <c r="A23" s="38"/>
      <c r="B23" s="39"/>
      <c r="C23" s="40"/>
      <c r="D23" s="18"/>
      <c r="E23" s="18"/>
      <c r="F23" s="52"/>
      <c r="G23" s="42"/>
      <c r="H23" s="42"/>
      <c r="I23" s="42"/>
    </row>
    <row r="24" spans="1:9" s="43" customFormat="1" ht="12.75" customHeight="1">
      <c r="A24" s="53"/>
      <c r="B24" s="53"/>
      <c r="C24" s="53"/>
      <c r="D24" s="53"/>
      <c r="E24" s="53"/>
      <c r="F24" s="53"/>
      <c r="G24" s="51"/>
      <c r="H24" s="42"/>
      <c r="I24" s="42"/>
    </row>
  </sheetData>
  <sheetProtection/>
  <mergeCells count="1">
    <mergeCell ref="A24:F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40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41</v>
      </c>
      <c r="B17" s="20" t="s">
        <v>42</v>
      </c>
      <c r="C17" s="33">
        <v>1</v>
      </c>
      <c r="D17" s="19">
        <v>81.32</v>
      </c>
      <c r="E17" s="16">
        <f>IF(TRUE,D17*$H$1,81.32)+0</f>
        <v>81.32</v>
      </c>
      <c r="F17" s="16">
        <f>C17*E17</f>
        <v>81.32</v>
      </c>
      <c r="G17" s="49"/>
      <c r="H17" s="47"/>
      <c r="I17" s="15"/>
    </row>
    <row r="18" spans="1:9" s="9" customFormat="1" ht="12" customHeight="1">
      <c r="A18" s="22"/>
      <c r="B18" s="23">
        <f>IF(""="","",HYPERLINK("","Spec Sheet"))</f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43</v>
      </c>
      <c r="B19" s="20" t="s">
        <v>44</v>
      </c>
      <c r="C19" s="33">
        <v>1</v>
      </c>
      <c r="D19" s="19">
        <v>37.4</v>
      </c>
      <c r="E19" s="16">
        <f>IF(TRUE,D19*$H$1,37.4)+0</f>
        <v>37.4</v>
      </c>
      <c r="F19" s="16">
        <f>C19*E19</f>
        <v>37.4</v>
      </c>
      <c r="G19" s="49"/>
      <c r="H19" s="47"/>
      <c r="I19" s="15"/>
    </row>
    <row r="20" spans="1:9" s="9" customFormat="1" ht="12" customHeight="1">
      <c r="A20" s="22"/>
      <c r="B20" s="23" t="str">
        <f>IF("http://www.bemisseats.com/docs/specification-sheets/new/1055SSC.pdf"="","",HYPERLINK("http://www.bemisseats.com/docs/specification-sheets/new/1055SSC.pdf","Spec Sheet"))</f>
        <v>Spec Sheet</v>
      </c>
      <c r="C20" s="24"/>
      <c r="D20" s="24"/>
      <c r="E20" s="24"/>
      <c r="F20" s="25"/>
      <c r="G20" s="48"/>
      <c r="H20" s="48"/>
      <c r="I20" s="8"/>
    </row>
    <row r="21" spans="1:9" s="43" customFormat="1" ht="11.25" customHeight="1" hidden="1">
      <c r="A21" s="38"/>
      <c r="B21" s="39"/>
      <c r="C21" s="40"/>
      <c r="D21" s="40"/>
      <c r="E21" s="40"/>
      <c r="F21" s="41"/>
      <c r="G21" s="42"/>
      <c r="H21" s="42"/>
      <c r="I21" s="42"/>
    </row>
    <row r="22" spans="1:9" s="43" customFormat="1" ht="11.25" customHeight="1">
      <c r="A22" s="38"/>
      <c r="B22" s="39"/>
      <c r="C22" s="40"/>
      <c r="D22" s="18" t="s">
        <v>4</v>
      </c>
      <c r="E22" s="18"/>
      <c r="F22" s="37">
        <f>SUBTOTAL(9,F17:F21)</f>
        <v>118.72</v>
      </c>
      <c r="G22" s="42"/>
      <c r="H22" s="42"/>
      <c r="I22" s="42"/>
    </row>
    <row r="23" spans="1:9" s="43" customFormat="1" ht="11.25" customHeight="1">
      <c r="A23" s="38"/>
      <c r="B23" s="39"/>
      <c r="C23" s="40"/>
      <c r="D23" s="18"/>
      <c r="E23" s="18"/>
      <c r="F23" s="52"/>
      <c r="G23" s="42"/>
      <c r="H23" s="42"/>
      <c r="I23" s="42"/>
    </row>
    <row r="24" spans="1:9" s="43" customFormat="1" ht="12.75" customHeight="1">
      <c r="A24" s="53"/>
      <c r="B24" s="53"/>
      <c r="C24" s="53"/>
      <c r="D24" s="53"/>
      <c r="E24" s="53"/>
      <c r="F24" s="53"/>
      <c r="G24" s="51"/>
      <c r="H24" s="42"/>
      <c r="I24" s="42"/>
    </row>
  </sheetData>
  <sheetProtection/>
  <mergeCells count="1">
    <mergeCell ref="A24:F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45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43</v>
      </c>
      <c r="B17" s="20" t="s">
        <v>46</v>
      </c>
      <c r="C17" s="33">
        <v>1</v>
      </c>
      <c r="D17" s="19">
        <v>37.4</v>
      </c>
      <c r="E17" s="16">
        <f>IF(TRUE,D17*$H$1,37.4)+0</f>
        <v>37.4</v>
      </c>
      <c r="F17" s="16">
        <f>C17*E17</f>
        <v>37.4</v>
      </c>
      <c r="G17" s="49"/>
      <c r="H17" s="47"/>
      <c r="I17" s="15"/>
    </row>
    <row r="18" spans="1:9" s="9" customFormat="1" ht="12" customHeight="1">
      <c r="A18" s="22"/>
      <c r="B18" s="23" t="str">
        <f>IF("http://www.churchseats.com/docs/specification-sheets/current/255SSC.pdf"="","",HYPERLINK("http://www.churchseats.com/docs/specification-sheets/current/255SSC.pdf","Spec Sheet"))</f>
        <v>Spec Sheet</v>
      </c>
      <c r="C18" s="24"/>
      <c r="D18" s="24"/>
      <c r="E18" s="24"/>
      <c r="F18" s="25"/>
      <c r="G18" s="48"/>
      <c r="H18" s="48"/>
      <c r="I18" s="8"/>
    </row>
    <row r="19" spans="1:9" s="43" customFormat="1" ht="11.25" customHeight="1" hidden="1">
      <c r="A19" s="38"/>
      <c r="B19" s="39"/>
      <c r="C19" s="40"/>
      <c r="D19" s="40"/>
      <c r="E19" s="40"/>
      <c r="F19" s="41"/>
      <c r="G19" s="42"/>
      <c r="H19" s="42"/>
      <c r="I19" s="42"/>
    </row>
    <row r="20" spans="1:9" s="43" customFormat="1" ht="11.25" customHeight="1">
      <c r="A20" s="38"/>
      <c r="B20" s="39"/>
      <c r="C20" s="40"/>
      <c r="D20" s="18" t="s">
        <v>4</v>
      </c>
      <c r="E20" s="18"/>
      <c r="F20" s="37">
        <f>SUBTOTAL(9,F17:F19)</f>
        <v>37.4</v>
      </c>
      <c r="G20" s="42"/>
      <c r="H20" s="42"/>
      <c r="I20" s="42"/>
    </row>
    <row r="21" spans="1:9" s="43" customFormat="1" ht="11.25" customHeight="1">
      <c r="A21" s="38"/>
      <c r="B21" s="39"/>
      <c r="C21" s="40"/>
      <c r="D21" s="18"/>
      <c r="E21" s="18"/>
      <c r="F21" s="52"/>
      <c r="G21" s="42"/>
      <c r="H21" s="42"/>
      <c r="I21" s="42"/>
    </row>
    <row r="22" spans="1:9" s="43" customFormat="1" ht="12.75" customHeight="1">
      <c r="A22" s="53"/>
      <c r="B22" s="53"/>
      <c r="C22" s="53"/>
      <c r="D22" s="53"/>
      <c r="E22" s="53"/>
      <c r="F22" s="53"/>
      <c r="G22" s="51"/>
      <c r="H22" s="42"/>
      <c r="I22" s="42"/>
    </row>
  </sheetData>
  <sheetProtection/>
  <mergeCells count="1">
    <mergeCell ref="A22:F2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47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48</v>
      </c>
      <c r="B17" s="20" t="s">
        <v>49</v>
      </c>
      <c r="C17" s="33">
        <v>1</v>
      </c>
      <c r="D17" s="19">
        <v>376</v>
      </c>
      <c r="E17" s="16">
        <f>IF(TRUE,D17*$H$1,376)+0</f>
        <v>376</v>
      </c>
      <c r="F17" s="16">
        <f>C17*E17</f>
        <v>376</v>
      </c>
      <c r="G17" s="49"/>
      <c r="H17" s="47"/>
      <c r="I17" s="15"/>
    </row>
    <row r="18" spans="1:9" s="9" customFormat="1" ht="12" customHeight="1">
      <c r="A18" s="22"/>
      <c r="B18" s="23" t="str">
        <f>IF("http://www.fiatproducts.com/assets/documents/fiat/spec/SpecSheet_5330.pdf"="","",HYPERLINK("http://www.fiatproducts.com/assets/documents/fiat/spec/SpecSheet_5330.pdf","Spec Sheet"))</f>
        <v>Spec Sheet</v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48</v>
      </c>
      <c r="B19" s="20" t="s">
        <v>50</v>
      </c>
      <c r="C19" s="33">
        <v>1</v>
      </c>
      <c r="D19" s="19">
        <v>85</v>
      </c>
      <c r="E19" s="16">
        <f>IF(TRUE,D19*$H$1,85)+0</f>
        <v>85</v>
      </c>
      <c r="F19" s="16">
        <f>C19*E19</f>
        <v>85</v>
      </c>
      <c r="G19" s="49"/>
      <c r="H19" s="47"/>
      <c r="I19" s="15"/>
    </row>
    <row r="20" spans="1:9" s="9" customFormat="1" ht="12" customHeight="1">
      <c r="A20" s="22"/>
      <c r="B20" s="23" t="str">
        <f>IF("http://fiat.ca/PDF/specmsb.pdf"="","",HYPERLINK("http://fiat.ca/PDF/specmsb.pdf","Spec Sheet"))</f>
        <v>Spec Sheet</v>
      </c>
      <c r="C20" s="24"/>
      <c r="D20" s="24"/>
      <c r="E20" s="24"/>
      <c r="F20" s="25"/>
      <c r="G20" s="48"/>
      <c r="H20" s="48"/>
      <c r="I20" s="8"/>
    </row>
    <row r="21" spans="1:9" s="9" customFormat="1" ht="165.75">
      <c r="A21" s="21" t="s">
        <v>48</v>
      </c>
      <c r="B21" s="20" t="s">
        <v>51</v>
      </c>
      <c r="C21" s="33">
        <v>1</v>
      </c>
      <c r="D21" s="19">
        <v>349</v>
      </c>
      <c r="E21" s="16">
        <f>IF(TRUE,D21*$H$1,349)+0</f>
        <v>349</v>
      </c>
      <c r="F21" s="16">
        <f>C21*E21</f>
        <v>349</v>
      </c>
      <c r="G21" s="49"/>
      <c r="H21" s="47"/>
      <c r="I21" s="15"/>
    </row>
    <row r="22" spans="1:9" s="9" customFormat="1" ht="12" customHeight="1">
      <c r="A22" s="22"/>
      <c r="B22" s="23" t="str">
        <f>IF("http://www.fiatproducts.com/searchResults.aspx?d=1,4"="","",HYPERLINK("http://www.fiatproducts.com/searchResults.aspx?d=1,4","Spec Sheet"))</f>
        <v>Spec Sheet</v>
      </c>
      <c r="C22" s="24"/>
      <c r="D22" s="24"/>
      <c r="E22" s="24"/>
      <c r="F22" s="25"/>
      <c r="G22" s="48"/>
      <c r="H22" s="48"/>
      <c r="I22" s="8"/>
    </row>
    <row r="23" spans="1:9" s="43" customFormat="1" ht="11.25" customHeight="1" hidden="1">
      <c r="A23" s="38"/>
      <c r="B23" s="39"/>
      <c r="C23" s="40"/>
      <c r="D23" s="40"/>
      <c r="E23" s="40"/>
      <c r="F23" s="41"/>
      <c r="G23" s="42"/>
      <c r="H23" s="42"/>
      <c r="I23" s="42"/>
    </row>
    <row r="24" spans="1:9" s="43" customFormat="1" ht="11.25" customHeight="1">
      <c r="A24" s="38"/>
      <c r="B24" s="39"/>
      <c r="C24" s="40"/>
      <c r="D24" s="18" t="s">
        <v>4</v>
      </c>
      <c r="E24" s="18"/>
      <c r="F24" s="37">
        <f>SUBTOTAL(9,F17:F23)</f>
        <v>810</v>
      </c>
      <c r="G24" s="42"/>
      <c r="H24" s="42"/>
      <c r="I24" s="42"/>
    </row>
    <row r="25" spans="1:9" s="43" customFormat="1" ht="11.25" customHeight="1">
      <c r="A25" s="38"/>
      <c r="B25" s="39"/>
      <c r="C25" s="40"/>
      <c r="D25" s="18"/>
      <c r="E25" s="18"/>
      <c r="F25" s="52"/>
      <c r="G25" s="42"/>
      <c r="H25" s="42"/>
      <c r="I25" s="42"/>
    </row>
    <row r="26" spans="1:9" s="43" customFormat="1" ht="12.75" customHeight="1">
      <c r="A26" s="53"/>
      <c r="B26" s="53"/>
      <c r="C26" s="53"/>
      <c r="D26" s="53"/>
      <c r="E26" s="53"/>
      <c r="F26" s="53"/>
      <c r="G26" s="51"/>
      <c r="H26" s="42"/>
      <c r="I26" s="42"/>
    </row>
  </sheetData>
  <sheetProtection/>
  <mergeCells count="1">
    <mergeCell ref="A26:F2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52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53</v>
      </c>
      <c r="B17" s="20" t="s">
        <v>54</v>
      </c>
      <c r="C17" s="33"/>
      <c r="D17" s="19"/>
      <c r="E17" s="16">
        <f>IF(FALSE,D17*$H$1,0)+0</f>
        <v>0</v>
      </c>
      <c r="F17" s="16">
        <f>C17*E17</f>
        <v>0</v>
      </c>
      <c r="G17" s="49"/>
      <c r="H17" s="47"/>
      <c r="I17" s="15"/>
    </row>
    <row r="18" spans="1:9" s="9" customFormat="1" ht="12" customHeight="1">
      <c r="A18" s="22"/>
      <c r="B18" s="23" t="str">
        <f>IF("http://www.jrsmith.com/uploads/fileLibrary/d2692.pdf"="","",HYPERLINK("http://www.jrsmith.com/uploads/fileLibrary/d2692.pdf","Spec Sheet"))</f>
        <v>Spec Sheet</v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/>
      <c r="B19" s="45" t="s">
        <v>55</v>
      </c>
      <c r="C19" s="33">
        <v>1</v>
      </c>
      <c r="D19" s="19">
        <v>36.3</v>
      </c>
      <c r="E19" s="16">
        <f>IF(TRUE,D19*$H$1,36.3)+0</f>
        <v>36.3</v>
      </c>
      <c r="F19" s="16">
        <f>C19*E19</f>
        <v>36.3</v>
      </c>
      <c r="G19" s="49"/>
      <c r="H19" s="47"/>
      <c r="I19" s="15"/>
    </row>
    <row r="20" spans="1:9" s="9" customFormat="1" ht="12" customHeight="1">
      <c r="A20" s="22"/>
      <c r="B20" s="46" t="str">
        <f>IF("http://www.jrsmith.com/uploads/fileLibrary/d2692.pdf"="","",HYPERLINK("http://www.jrsmith.com/uploads/fileLibrary/d2692.pdf","Spec Sheet"))</f>
        <v>Spec Sheet</v>
      </c>
      <c r="C20" s="24"/>
      <c r="D20" s="24"/>
      <c r="E20" s="24"/>
      <c r="F20" s="25"/>
      <c r="G20" s="48"/>
      <c r="H20" s="48"/>
      <c r="I20" s="8"/>
    </row>
    <row r="21" spans="1:9" s="9" customFormat="1" ht="165.75">
      <c r="A21" s="21"/>
      <c r="B21" s="45" t="s">
        <v>56</v>
      </c>
      <c r="C21" s="33">
        <v>1</v>
      </c>
      <c r="D21" s="19">
        <v>37.8</v>
      </c>
      <c r="E21" s="16">
        <f>IF(TRUE,D21*$H$1,37.8)+0</f>
        <v>37.8</v>
      </c>
      <c r="F21" s="16">
        <f>C21*E21</f>
        <v>37.8</v>
      </c>
      <c r="G21" s="49"/>
      <c r="H21" s="47"/>
      <c r="I21" s="15"/>
    </row>
    <row r="22" spans="1:9" s="9" customFormat="1" ht="12" customHeight="1">
      <c r="A22" s="22"/>
      <c r="B22" s="46" t="str">
        <f>IF("http://www.jrsmith.com/uploads/fileLibrary/d2692.pdf"="","",HYPERLINK("http://www.jrsmith.com/uploads/fileLibrary/d2692.pdf","Spec Sheet"))</f>
        <v>Spec Sheet</v>
      </c>
      <c r="C22" s="24"/>
      <c r="D22" s="24"/>
      <c r="E22" s="24"/>
      <c r="F22" s="25"/>
      <c r="G22" s="48"/>
      <c r="H22" s="48"/>
      <c r="I22" s="8"/>
    </row>
    <row r="23" spans="1:9" s="9" customFormat="1" ht="165.75">
      <c r="A23" s="21"/>
      <c r="B23" s="45" t="s">
        <v>57</v>
      </c>
      <c r="C23" s="33">
        <v>1</v>
      </c>
      <c r="D23" s="19">
        <v>44.8</v>
      </c>
      <c r="E23" s="16">
        <f>IF(TRUE,D23*$H$1,44.8)+0</f>
        <v>44.8</v>
      </c>
      <c r="F23" s="16">
        <f>C23*E23</f>
        <v>44.8</v>
      </c>
      <c r="G23" s="49"/>
      <c r="H23" s="47"/>
      <c r="I23" s="15"/>
    </row>
    <row r="24" spans="1:9" s="9" customFormat="1" ht="12" customHeight="1">
      <c r="A24" s="22"/>
      <c r="B24" s="46" t="str">
        <f>IF("http://www.jrsmith.com/uploads/fileLibrary/d2692.pdf"="","",HYPERLINK("http://www.jrsmith.com/uploads/fileLibrary/d2692.pdf","Spec Sheet"))</f>
        <v>Spec Sheet</v>
      </c>
      <c r="C24" s="24"/>
      <c r="D24" s="24"/>
      <c r="E24" s="24"/>
      <c r="F24" s="25"/>
      <c r="G24" s="48"/>
      <c r="H24" s="48"/>
      <c r="I24" s="8"/>
    </row>
    <row r="25" spans="1:9" s="9" customFormat="1" ht="165.75">
      <c r="A25" s="21" t="s">
        <v>58</v>
      </c>
      <c r="B25" s="20" t="s">
        <v>59</v>
      </c>
      <c r="C25" s="33">
        <v>1</v>
      </c>
      <c r="D25" s="19">
        <v>75.6</v>
      </c>
      <c r="E25" s="16">
        <f>IF(TRUE,D25*$H$1,75.6)+0</f>
        <v>75.6</v>
      </c>
      <c r="F25" s="16">
        <f>C25*E25</f>
        <v>75.6</v>
      </c>
      <c r="G25" s="49"/>
      <c r="H25" s="47"/>
      <c r="I25" s="15"/>
    </row>
    <row r="26" spans="1:9" s="9" customFormat="1" ht="12" customHeight="1">
      <c r="A26" s="22"/>
      <c r="B26" s="23">
        <f>IF(""="","",HYPERLINK("","Spec Sheet"))</f>
      </c>
      <c r="C26" s="24"/>
      <c r="D26" s="24"/>
      <c r="E26" s="24"/>
      <c r="F26" s="25"/>
      <c r="G26" s="48"/>
      <c r="H26" s="48"/>
      <c r="I26" s="8"/>
    </row>
    <row r="27" spans="1:9" s="9" customFormat="1" ht="165.75">
      <c r="A27" s="21" t="s">
        <v>58</v>
      </c>
      <c r="B27" s="20" t="s">
        <v>60</v>
      </c>
      <c r="C27" s="33">
        <v>1</v>
      </c>
      <c r="D27" s="19">
        <v>26.5</v>
      </c>
      <c r="E27" s="16">
        <f>IF(TRUE,D27*$H$1,26.5)+0</f>
        <v>26.5</v>
      </c>
      <c r="F27" s="16">
        <f>C27*E27</f>
        <v>26.5</v>
      </c>
      <c r="G27" s="49"/>
      <c r="H27" s="47"/>
      <c r="I27" s="15"/>
    </row>
    <row r="28" spans="1:9" s="9" customFormat="1" ht="12" customHeight="1">
      <c r="A28" s="22"/>
      <c r="B28" s="23">
        <f>IF(""="","",HYPERLINK("","Spec Sheet"))</f>
      </c>
      <c r="C28" s="24"/>
      <c r="D28" s="24"/>
      <c r="E28" s="24"/>
      <c r="F28" s="25"/>
      <c r="G28" s="48"/>
      <c r="H28" s="48"/>
      <c r="I28" s="8"/>
    </row>
    <row r="29" spans="1:9" s="9" customFormat="1" ht="165.75">
      <c r="A29" s="21" t="s">
        <v>61</v>
      </c>
      <c r="B29" s="20" t="s">
        <v>62</v>
      </c>
      <c r="C29" s="33">
        <v>1</v>
      </c>
      <c r="D29" s="19">
        <v>36</v>
      </c>
      <c r="E29" s="16">
        <f>IF(TRUE,D29*$H$1,36)+0</f>
        <v>36</v>
      </c>
      <c r="F29" s="16">
        <f>C29*E29</f>
        <v>36</v>
      </c>
      <c r="G29" s="49"/>
      <c r="H29" s="47"/>
      <c r="I29" s="15"/>
    </row>
    <row r="30" spans="1:9" s="9" customFormat="1" ht="12" customHeight="1">
      <c r="A30" s="22"/>
      <c r="B30" s="23" t="str">
        <f>IF("http://www.jrsmith.com/uploads/fileLibrary/d5672.pdf"="","",HYPERLINK("http://www.jrsmith.com/uploads/fileLibrary/d5672.pdf","Spec Sheet"))</f>
        <v>Spec Sheet</v>
      </c>
      <c r="C30" s="24"/>
      <c r="D30" s="24"/>
      <c r="E30" s="24"/>
      <c r="F30" s="25"/>
      <c r="G30" s="48"/>
      <c r="H30" s="48"/>
      <c r="I30" s="8"/>
    </row>
    <row r="31" spans="1:9" s="43" customFormat="1" ht="11.25" customHeight="1" hidden="1">
      <c r="A31" s="38"/>
      <c r="B31" s="39"/>
      <c r="C31" s="40"/>
      <c r="D31" s="40"/>
      <c r="E31" s="40"/>
      <c r="F31" s="41"/>
      <c r="G31" s="42"/>
      <c r="H31" s="42"/>
      <c r="I31" s="42"/>
    </row>
    <row r="32" spans="1:9" s="43" customFormat="1" ht="11.25" customHeight="1">
      <c r="A32" s="38"/>
      <c r="B32" s="39"/>
      <c r="C32" s="40"/>
      <c r="D32" s="18" t="s">
        <v>4</v>
      </c>
      <c r="E32" s="18"/>
      <c r="F32" s="37">
        <f>SUBTOTAL(9,F17:F31)</f>
        <v>257</v>
      </c>
      <c r="G32" s="42"/>
      <c r="H32" s="42"/>
      <c r="I32" s="42"/>
    </row>
    <row r="33" spans="1:9" s="43" customFormat="1" ht="11.25" customHeight="1">
      <c r="A33" s="38"/>
      <c r="B33" s="39"/>
      <c r="C33" s="40"/>
      <c r="D33" s="18"/>
      <c r="E33" s="18"/>
      <c r="F33" s="52"/>
      <c r="G33" s="42"/>
      <c r="H33" s="42"/>
      <c r="I33" s="42"/>
    </row>
    <row r="34" spans="1:9" s="43" customFormat="1" ht="12.75" customHeight="1">
      <c r="A34" s="53"/>
      <c r="B34" s="53"/>
      <c r="C34" s="53"/>
      <c r="D34" s="53"/>
      <c r="E34" s="53"/>
      <c r="F34" s="53"/>
      <c r="G34" s="51"/>
      <c r="H34" s="42"/>
      <c r="I34" s="42"/>
    </row>
  </sheetData>
  <sheetProtection/>
  <mergeCells count="1">
    <mergeCell ref="A34:F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63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64</v>
      </c>
      <c r="B17" s="20" t="s">
        <v>65</v>
      </c>
      <c r="C17" s="33">
        <v>1</v>
      </c>
      <c r="D17" s="19">
        <v>1271</v>
      </c>
      <c r="E17" s="16">
        <f>IF(TRUE,D17*$H$1,1271)+0</f>
        <v>1271</v>
      </c>
      <c r="F17" s="16">
        <f>C17*E17</f>
        <v>1271</v>
      </c>
      <c r="G17" s="49"/>
      <c r="H17" s="47"/>
      <c r="I17" s="15"/>
    </row>
    <row r="18" spans="1:9" s="9" customFormat="1" ht="12" customHeight="1">
      <c r="A18" s="22"/>
      <c r="B18" s="23" t="str">
        <f>IF("http://www.jrsmith.com/uploads/fileLibrary/d0700.pdf"="","",HYPERLINK("http://www.jrsmith.com/uploads/fileLibrary/d0700.pdf","Spec Sheet"))</f>
        <v>Spec Sheet</v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66</v>
      </c>
      <c r="B19" s="20" t="s">
        <v>67</v>
      </c>
      <c r="C19" s="33"/>
      <c r="D19" s="19"/>
      <c r="E19" s="16">
        <f>IF(FALSE,D19*$H$1,0)+0</f>
        <v>0</v>
      </c>
      <c r="F19" s="16">
        <f>C19*E19</f>
        <v>0</v>
      </c>
      <c r="G19" s="49"/>
      <c r="H19" s="47"/>
      <c r="I19" s="15"/>
    </row>
    <row r="20" spans="1:9" s="9" customFormat="1" ht="12" customHeight="1">
      <c r="A20" s="22"/>
      <c r="B20" s="23" t="str">
        <f>IF("http://www.jrsmith.com/uploads/fileLibrary/d4220.pdf"="","",HYPERLINK("http://www.jrsmith.com/uploads/fileLibrary/d4220.pdf","Spec Sheet"))</f>
        <v>Spec Sheet</v>
      </c>
      <c r="C20" s="24"/>
      <c r="D20" s="24"/>
      <c r="E20" s="24"/>
      <c r="F20" s="25"/>
      <c r="G20" s="48"/>
      <c r="H20" s="48"/>
      <c r="I20" s="8"/>
    </row>
    <row r="21" spans="1:9" s="9" customFormat="1" ht="165.75">
      <c r="A21" s="21"/>
      <c r="B21" s="45" t="s">
        <v>68</v>
      </c>
      <c r="C21" s="33">
        <v>1</v>
      </c>
      <c r="D21" s="19">
        <v>654</v>
      </c>
      <c r="E21" s="16">
        <f>IF(TRUE,D21*$H$1,654)+0</f>
        <v>654</v>
      </c>
      <c r="F21" s="16">
        <f>C21*E21</f>
        <v>654</v>
      </c>
      <c r="G21" s="49"/>
      <c r="H21" s="47"/>
      <c r="I21" s="15"/>
    </row>
    <row r="22" spans="1:9" s="9" customFormat="1" ht="12" customHeight="1">
      <c r="A22" s="22"/>
      <c r="B22" s="46" t="str">
        <f>IF("http://www.jrsmith.com/uploads/fileLibrary/d4220.pdf"="","",HYPERLINK("http://www.jrsmith.com/uploads/fileLibrary/d4220.pdf","Spec Sheet"))</f>
        <v>Spec Sheet</v>
      </c>
      <c r="C22" s="24"/>
      <c r="D22" s="24"/>
      <c r="E22" s="24"/>
      <c r="F22" s="25"/>
      <c r="G22" s="48"/>
      <c r="H22" s="48"/>
      <c r="I22" s="8"/>
    </row>
    <row r="23" spans="1:9" s="9" customFormat="1" ht="165.75">
      <c r="A23" s="21"/>
      <c r="B23" s="45" t="s">
        <v>69</v>
      </c>
      <c r="C23" s="33">
        <v>1</v>
      </c>
      <c r="D23" s="19">
        <v>748</v>
      </c>
      <c r="E23" s="16">
        <f>IF(TRUE,D23*$H$1,748)+0</f>
        <v>748</v>
      </c>
      <c r="F23" s="16">
        <f>C23*E23</f>
        <v>748</v>
      </c>
      <c r="G23" s="49"/>
      <c r="H23" s="47"/>
      <c r="I23" s="15"/>
    </row>
    <row r="24" spans="1:9" s="9" customFormat="1" ht="12" customHeight="1">
      <c r="A24" s="22"/>
      <c r="B24" s="46" t="str">
        <f>IF("http://www.jrsmith.com/uploads/fileLibrary/d4220.pdf"="","",HYPERLINK("http://www.jrsmith.com/uploads/fileLibrary/d4220.pdf","Spec Sheet"))</f>
        <v>Spec Sheet</v>
      </c>
      <c r="C24" s="24"/>
      <c r="D24" s="24"/>
      <c r="E24" s="24"/>
      <c r="F24" s="25"/>
      <c r="G24" s="48"/>
      <c r="H24" s="48"/>
      <c r="I24" s="8"/>
    </row>
    <row r="25" spans="1:9" s="9" customFormat="1" ht="165.75">
      <c r="A25" s="21"/>
      <c r="B25" s="45" t="s">
        <v>70</v>
      </c>
      <c r="C25" s="33">
        <v>1</v>
      </c>
      <c r="D25" s="19">
        <v>889</v>
      </c>
      <c r="E25" s="16">
        <f>IF(TRUE,D25*$H$1,889)+0</f>
        <v>889</v>
      </c>
      <c r="F25" s="16">
        <f>C25*E25</f>
        <v>889</v>
      </c>
      <c r="G25" s="49"/>
      <c r="H25" s="47"/>
      <c r="I25" s="15"/>
    </row>
    <row r="26" spans="1:9" s="9" customFormat="1" ht="12" customHeight="1">
      <c r="A26" s="22"/>
      <c r="B26" s="46" t="str">
        <f>IF("http://www.jrsmith.com/uploads/fileLibrary/d4220.pdf"="","",HYPERLINK("http://www.jrsmith.com/uploads/fileLibrary/d4220.pdf","Spec Sheet"))</f>
        <v>Spec Sheet</v>
      </c>
      <c r="C26" s="24"/>
      <c r="D26" s="24"/>
      <c r="E26" s="24"/>
      <c r="F26" s="25"/>
      <c r="G26" s="48"/>
      <c r="H26" s="48"/>
      <c r="I26" s="8"/>
    </row>
    <row r="27" spans="1:9" s="9" customFormat="1" ht="165.75">
      <c r="A27" s="21" t="s">
        <v>66</v>
      </c>
      <c r="B27" s="20" t="s">
        <v>71</v>
      </c>
      <c r="C27" s="33"/>
      <c r="D27" s="19"/>
      <c r="E27" s="16">
        <f>IF(FALSE,D27*$H$1,0)+0</f>
        <v>0</v>
      </c>
      <c r="F27" s="16">
        <f>C27*E27</f>
        <v>0</v>
      </c>
      <c r="G27" s="49"/>
      <c r="H27" s="47"/>
      <c r="I27" s="15"/>
    </row>
    <row r="28" spans="1:9" s="9" customFormat="1" ht="12" customHeight="1">
      <c r="A28" s="22"/>
      <c r="B28" s="23" t="str">
        <f>IF("http://www.jrsmith.com/uploads/fileLibrary/d4100.pdf"="","",HYPERLINK("http://www.jrsmith.com/uploads/fileLibrary/d4100.pdf","Spec Sheet"))</f>
        <v>Spec Sheet</v>
      </c>
      <c r="C28" s="24"/>
      <c r="D28" s="24"/>
      <c r="E28" s="24"/>
      <c r="F28" s="25"/>
      <c r="G28" s="48"/>
      <c r="H28" s="48"/>
      <c r="I28" s="8"/>
    </row>
    <row r="29" spans="1:9" s="9" customFormat="1" ht="165.75">
      <c r="A29" s="21"/>
      <c r="B29" s="45" t="s">
        <v>72</v>
      </c>
      <c r="C29" s="33">
        <v>1</v>
      </c>
      <c r="D29" s="19">
        <v>1001</v>
      </c>
      <c r="E29" s="16">
        <f>IF(TRUE,D29*$H$1,1001)+0</f>
        <v>1001</v>
      </c>
      <c r="F29" s="16">
        <f>C29*E29</f>
        <v>1001</v>
      </c>
      <c r="G29" s="49"/>
      <c r="H29" s="47"/>
      <c r="I29" s="15"/>
    </row>
    <row r="30" spans="1:9" s="9" customFormat="1" ht="12" customHeight="1">
      <c r="A30" s="22"/>
      <c r="B30" s="46" t="str">
        <f>IF("http://www.jrsmith.com/uploads/fileLibrary/d4100.pdf"="","",HYPERLINK("http://www.jrsmith.com/uploads/fileLibrary/d4100.pdf","Spec Sheet"))</f>
        <v>Spec Sheet</v>
      </c>
      <c r="C30" s="24"/>
      <c r="D30" s="24"/>
      <c r="E30" s="24"/>
      <c r="F30" s="25"/>
      <c r="G30" s="48"/>
      <c r="H30" s="48"/>
      <c r="I30" s="8"/>
    </row>
    <row r="31" spans="1:9" s="9" customFormat="1" ht="165.75">
      <c r="A31" s="21"/>
      <c r="B31" s="45" t="s">
        <v>73</v>
      </c>
      <c r="C31" s="33">
        <v>1</v>
      </c>
      <c r="D31" s="19">
        <v>1050</v>
      </c>
      <c r="E31" s="16">
        <f>IF(TRUE,D31*$H$1,1050)+0</f>
        <v>1050</v>
      </c>
      <c r="F31" s="16">
        <f>C31*E31</f>
        <v>1050</v>
      </c>
      <c r="G31" s="49"/>
      <c r="H31" s="47"/>
      <c r="I31" s="15"/>
    </row>
    <row r="32" spans="1:9" s="9" customFormat="1" ht="12" customHeight="1">
      <c r="A32" s="22"/>
      <c r="B32" s="46" t="str">
        <f>IF("http://www.jrsmith.com/uploads/fileLibrary/d4100.pdf"="","",HYPERLINK("http://www.jrsmith.com/uploads/fileLibrary/d4100.pdf","Spec Sheet"))</f>
        <v>Spec Sheet</v>
      </c>
      <c r="C32" s="24"/>
      <c r="D32" s="24"/>
      <c r="E32" s="24"/>
      <c r="F32" s="25"/>
      <c r="G32" s="48"/>
      <c r="H32" s="48"/>
      <c r="I32" s="8"/>
    </row>
    <row r="33" spans="1:9" s="9" customFormat="1" ht="165.75">
      <c r="A33" s="21"/>
      <c r="B33" s="45" t="s">
        <v>74</v>
      </c>
      <c r="C33" s="33">
        <v>1</v>
      </c>
      <c r="D33" s="19">
        <v>1329</v>
      </c>
      <c r="E33" s="16">
        <f>IF(TRUE,D33*$H$1,1329)+0</f>
        <v>1329</v>
      </c>
      <c r="F33" s="16">
        <f>C33*E33</f>
        <v>1329</v>
      </c>
      <c r="G33" s="49"/>
      <c r="H33" s="47"/>
      <c r="I33" s="15"/>
    </row>
    <row r="34" spans="1:9" s="9" customFormat="1" ht="12" customHeight="1">
      <c r="A34" s="22"/>
      <c r="B34" s="46" t="str">
        <f>IF("http://www.jrsmith.com/uploads/fileLibrary/d4100.pdf"="","",HYPERLINK("http://www.jrsmith.com/uploads/fileLibrary/d4100.pdf","Spec Sheet"))</f>
        <v>Spec Sheet</v>
      </c>
      <c r="C34" s="24"/>
      <c r="D34" s="24"/>
      <c r="E34" s="24"/>
      <c r="F34" s="25"/>
      <c r="G34" s="48"/>
      <c r="H34" s="48"/>
      <c r="I34" s="8"/>
    </row>
    <row r="35" spans="1:9" s="9" customFormat="1" ht="165.75">
      <c r="A35" s="21" t="s">
        <v>53</v>
      </c>
      <c r="B35" s="20" t="s">
        <v>75</v>
      </c>
      <c r="C35" s="33"/>
      <c r="D35" s="19"/>
      <c r="E35" s="16">
        <f>IF(FALSE,D35*$H$1,0)+0</f>
        <v>0</v>
      </c>
      <c r="F35" s="16">
        <f>C35*E35</f>
        <v>0</v>
      </c>
      <c r="G35" s="49"/>
      <c r="H35" s="47"/>
      <c r="I35" s="15"/>
    </row>
    <row r="36" spans="1:9" s="9" customFormat="1" ht="12" customHeight="1">
      <c r="A36" s="22"/>
      <c r="B36" s="23" t="str">
        <f>IF("http://www.jrsmith.com/uploads/fileLibrary/d2005.pdf"="","",HYPERLINK("http://www.jrsmith.com/uploads/fileLibrary/d2005.pdf","Spec Sheet"))</f>
        <v>Spec Sheet</v>
      </c>
      <c r="C36" s="24"/>
      <c r="D36" s="24"/>
      <c r="E36" s="24"/>
      <c r="F36" s="25"/>
      <c r="G36" s="48"/>
      <c r="H36" s="48"/>
      <c r="I36" s="8"/>
    </row>
    <row r="37" spans="1:9" s="9" customFormat="1" ht="165.75">
      <c r="A37" s="21"/>
      <c r="B37" s="45" t="s">
        <v>75</v>
      </c>
      <c r="C37" s="33">
        <v>1</v>
      </c>
      <c r="D37" s="19">
        <v>828</v>
      </c>
      <c r="E37" s="16">
        <f>IF(TRUE,D37*$H$1,828)+0</f>
        <v>828</v>
      </c>
      <c r="F37" s="16">
        <f>C37*E37</f>
        <v>828</v>
      </c>
      <c r="G37" s="49"/>
      <c r="H37" s="47"/>
      <c r="I37" s="15"/>
    </row>
    <row r="38" spans="1:9" s="9" customFormat="1" ht="12" customHeight="1">
      <c r="A38" s="22"/>
      <c r="B38" s="46" t="str">
        <f>IF("http://www.jrsmith.com/uploads/fileLibrary/d2005.pdf"="","",HYPERLINK("http://www.jrsmith.com/uploads/fileLibrary/d2005.pdf","Spec Sheet"))</f>
        <v>Spec Sheet</v>
      </c>
      <c r="C38" s="24"/>
      <c r="D38" s="24"/>
      <c r="E38" s="24"/>
      <c r="F38" s="25"/>
      <c r="G38" s="48"/>
      <c r="H38" s="48"/>
      <c r="I38" s="8"/>
    </row>
    <row r="39" spans="1:9" s="9" customFormat="1" ht="165.75">
      <c r="A39" s="21"/>
      <c r="B39" s="45" t="s">
        <v>76</v>
      </c>
      <c r="C39" s="33">
        <v>1</v>
      </c>
      <c r="D39" s="19">
        <v>921</v>
      </c>
      <c r="E39" s="16">
        <f>IF(TRUE,D39*$H$1,921)+0</f>
        <v>921</v>
      </c>
      <c r="F39" s="16">
        <f>C39*E39</f>
        <v>921</v>
      </c>
      <c r="G39" s="49"/>
      <c r="H39" s="47"/>
      <c r="I39" s="15"/>
    </row>
    <row r="40" spans="1:9" s="9" customFormat="1" ht="12" customHeight="1">
      <c r="A40" s="22"/>
      <c r="B40" s="46" t="str">
        <f>IF("http://www.jrsmith.com/uploads/fileLibrary/d2005.pdf"="","",HYPERLINK("http://www.jrsmith.com/uploads/fileLibrary/d2005.pdf","Spec Sheet"))</f>
        <v>Spec Sheet</v>
      </c>
      <c r="C40" s="24"/>
      <c r="D40" s="24"/>
      <c r="E40" s="24"/>
      <c r="F40" s="25"/>
      <c r="G40" s="48"/>
      <c r="H40" s="48"/>
      <c r="I40" s="8"/>
    </row>
    <row r="41" spans="1:9" s="9" customFormat="1" ht="165.75">
      <c r="A41" s="21" t="s">
        <v>77</v>
      </c>
      <c r="B41" s="20" t="s">
        <v>78</v>
      </c>
      <c r="C41" s="33"/>
      <c r="D41" s="19"/>
      <c r="E41" s="16">
        <f>IF(FALSE,D41*$H$1,0)+0</f>
        <v>0</v>
      </c>
      <c r="F41" s="16">
        <f>C41*E41</f>
        <v>0</v>
      </c>
      <c r="G41" s="49"/>
      <c r="H41" s="47"/>
      <c r="I41" s="15"/>
    </row>
    <row r="42" spans="1:9" s="9" customFormat="1" ht="12" customHeight="1">
      <c r="A42" s="22"/>
      <c r="B42" s="23" t="str">
        <f>IF("http://www.jrsmith.com/uploads/fileLibrary/d5519.pdf"="","",HYPERLINK("http://www.jrsmith.com/uploads/fileLibrary/d5519.pdf","Spec Sheet"))</f>
        <v>Spec Sheet</v>
      </c>
      <c r="C42" s="24"/>
      <c r="D42" s="24"/>
      <c r="E42" s="24"/>
      <c r="F42" s="25"/>
      <c r="G42" s="48"/>
      <c r="H42" s="48"/>
      <c r="I42" s="8"/>
    </row>
    <row r="43" spans="1:9" s="9" customFormat="1" ht="165.75">
      <c r="A43" s="21"/>
      <c r="B43" s="45" t="s">
        <v>78</v>
      </c>
      <c r="C43" s="33">
        <v>1</v>
      </c>
      <c r="D43" s="19">
        <v>2360</v>
      </c>
      <c r="E43" s="16">
        <f>IF(TRUE,D43*$H$1,2360)+0</f>
        <v>2360</v>
      </c>
      <c r="F43" s="16">
        <f>C43*E43</f>
        <v>2360</v>
      </c>
      <c r="G43" s="49"/>
      <c r="H43" s="47"/>
      <c r="I43" s="15"/>
    </row>
    <row r="44" spans="1:9" s="9" customFormat="1" ht="12" customHeight="1">
      <c r="A44" s="22"/>
      <c r="B44" s="46" t="str">
        <f>IF("http://www.jrsmith.com/uploads/fileLibrary/d5519.pdf"="","",HYPERLINK("http://www.jrsmith.com/uploads/fileLibrary/d5519.pdf","Spec Sheet"))</f>
        <v>Spec Sheet</v>
      </c>
      <c r="C44" s="24"/>
      <c r="D44" s="24"/>
      <c r="E44" s="24"/>
      <c r="F44" s="25"/>
      <c r="G44" s="48"/>
      <c r="H44" s="48"/>
      <c r="I44" s="8"/>
    </row>
    <row r="45" spans="1:9" s="9" customFormat="1" ht="165.75">
      <c r="A45" s="21"/>
      <c r="B45" s="45" t="s">
        <v>79</v>
      </c>
      <c r="C45" s="33">
        <v>1</v>
      </c>
      <c r="D45" s="19">
        <v>2668</v>
      </c>
      <c r="E45" s="16">
        <f>IF(TRUE,D45*$H$1,2668)+0</f>
        <v>2668</v>
      </c>
      <c r="F45" s="16">
        <f>C45*E45</f>
        <v>2668</v>
      </c>
      <c r="G45" s="49"/>
      <c r="H45" s="47"/>
      <c r="I45" s="15"/>
    </row>
    <row r="46" spans="1:9" s="9" customFormat="1" ht="12" customHeight="1">
      <c r="A46" s="22"/>
      <c r="B46" s="46" t="str">
        <f>IF("http://www.jrsmith.com/uploads/fileLibrary/d5519.pdf"="","",HYPERLINK("http://www.jrsmith.com/uploads/fileLibrary/d5519.pdf","Spec Sheet"))</f>
        <v>Spec Sheet</v>
      </c>
      <c r="C46" s="24"/>
      <c r="D46" s="24"/>
      <c r="E46" s="24"/>
      <c r="F46" s="25"/>
      <c r="G46" s="48"/>
      <c r="H46" s="48"/>
      <c r="I46" s="8"/>
    </row>
    <row r="47" spans="1:9" s="9" customFormat="1" ht="165.75">
      <c r="A47" s="21"/>
      <c r="B47" s="45" t="s">
        <v>80</v>
      </c>
      <c r="C47" s="33">
        <v>1</v>
      </c>
      <c r="D47" s="19">
        <v>2856</v>
      </c>
      <c r="E47" s="16">
        <f>IF(TRUE,D47*$H$1,2856)+0</f>
        <v>2856</v>
      </c>
      <c r="F47" s="16">
        <f>C47*E47</f>
        <v>2856</v>
      </c>
      <c r="G47" s="49"/>
      <c r="H47" s="47"/>
      <c r="I47" s="15"/>
    </row>
    <row r="48" spans="1:9" s="9" customFormat="1" ht="12" customHeight="1">
      <c r="A48" s="22"/>
      <c r="B48" s="46">
        <f>IF(""="","",HYPERLINK("","Spec Sheet"))</f>
      </c>
      <c r="C48" s="24"/>
      <c r="D48" s="24"/>
      <c r="E48" s="24"/>
      <c r="F48" s="25"/>
      <c r="G48" s="48"/>
      <c r="H48" s="48"/>
      <c r="I48" s="8"/>
    </row>
    <row r="49" spans="1:9" s="9" customFormat="1" ht="165.75">
      <c r="A49" s="21" t="s">
        <v>61</v>
      </c>
      <c r="B49" s="20" t="s">
        <v>81</v>
      </c>
      <c r="C49" s="33"/>
      <c r="D49" s="19"/>
      <c r="E49" s="16">
        <f>IF(FALSE,D49*$H$1,0)+0</f>
        <v>0</v>
      </c>
      <c r="F49" s="16">
        <f>C49*E49</f>
        <v>0</v>
      </c>
      <c r="G49" s="49"/>
      <c r="H49" s="47"/>
      <c r="I49" s="15"/>
    </row>
    <row r="50" spans="1:9" s="9" customFormat="1" ht="12" customHeight="1">
      <c r="A50" s="22"/>
      <c r="B50" s="23" t="str">
        <f>IF("http://www.jrsmith.com/uploads/fileLibrary/d5619.pdf"="","",HYPERLINK("http://www.jrsmith.com/uploads/fileLibrary/d5619.pdf","Spec Sheet"))</f>
        <v>Spec Sheet</v>
      </c>
      <c r="C50" s="24"/>
      <c r="D50" s="24"/>
      <c r="E50" s="24"/>
      <c r="F50" s="25"/>
      <c r="G50" s="48"/>
      <c r="H50" s="48"/>
      <c r="I50" s="8"/>
    </row>
    <row r="51" spans="1:9" s="9" customFormat="1" ht="165.75">
      <c r="A51" s="21"/>
      <c r="B51" s="45" t="s">
        <v>81</v>
      </c>
      <c r="C51" s="33">
        <v>1</v>
      </c>
      <c r="D51" s="19">
        <v>1088</v>
      </c>
      <c r="E51" s="16">
        <f>IF(TRUE,D51*$H$1,1088)+0</f>
        <v>1088</v>
      </c>
      <c r="F51" s="16">
        <f>C51*E51</f>
        <v>1088</v>
      </c>
      <c r="G51" s="49"/>
      <c r="H51" s="47"/>
      <c r="I51" s="15"/>
    </row>
    <row r="52" spans="1:9" s="9" customFormat="1" ht="12" customHeight="1">
      <c r="A52" s="22"/>
      <c r="B52" s="46" t="str">
        <f>IF("http://www.jrsmith.com/uploads/fileLibrary/d5619.pdf"="","",HYPERLINK("http://www.jrsmith.com/uploads/fileLibrary/d5619.pdf","Spec Sheet"))</f>
        <v>Spec Sheet</v>
      </c>
      <c r="C52" s="24"/>
      <c r="D52" s="24"/>
      <c r="E52" s="24"/>
      <c r="F52" s="25"/>
      <c r="G52" s="48"/>
      <c r="H52" s="48"/>
      <c r="I52" s="8"/>
    </row>
    <row r="53" spans="1:9" s="9" customFormat="1" ht="165.75">
      <c r="A53" s="21"/>
      <c r="B53" s="45" t="s">
        <v>82</v>
      </c>
      <c r="C53" s="33">
        <v>1</v>
      </c>
      <c r="D53" s="19">
        <v>1398</v>
      </c>
      <c r="E53" s="16">
        <f>IF(TRUE,D53*$H$1,1398)+0</f>
        <v>1398</v>
      </c>
      <c r="F53" s="16">
        <f>C53*E53</f>
        <v>1398</v>
      </c>
      <c r="G53" s="49"/>
      <c r="H53" s="47"/>
      <c r="I53" s="15"/>
    </row>
    <row r="54" spans="1:9" s="9" customFormat="1" ht="12" customHeight="1">
      <c r="A54" s="22"/>
      <c r="B54" s="46" t="str">
        <f>IF("http://www.jrsmith.com/uploads/fileLibrary/d5619.pdf"="","",HYPERLINK("http://www.jrsmith.com/uploads/fileLibrary/d5619.pdf","Spec Sheet"))</f>
        <v>Spec Sheet</v>
      </c>
      <c r="C54" s="24"/>
      <c r="D54" s="24"/>
      <c r="E54" s="24"/>
      <c r="F54" s="25"/>
      <c r="G54" s="48"/>
      <c r="H54" s="48"/>
      <c r="I54" s="8"/>
    </row>
    <row r="55" spans="1:9" s="9" customFormat="1" ht="165.75">
      <c r="A55" s="21"/>
      <c r="B55" s="45" t="s">
        <v>83</v>
      </c>
      <c r="C55" s="33">
        <v>1</v>
      </c>
      <c r="D55" s="19">
        <v>1585</v>
      </c>
      <c r="E55" s="16">
        <f>IF(TRUE,D55*$H$1,1585)+0</f>
        <v>1585</v>
      </c>
      <c r="F55" s="16">
        <f>C55*E55</f>
        <v>1585</v>
      </c>
      <c r="G55" s="49"/>
      <c r="H55" s="47"/>
      <c r="I55" s="15"/>
    </row>
    <row r="56" spans="1:9" s="9" customFormat="1" ht="12" customHeight="1">
      <c r="A56" s="22"/>
      <c r="B56" s="46" t="str">
        <f>IF("http://www.jrsmith.com/uploads/fileLibrary/d5619.pdf"="","",HYPERLINK("http://www.jrsmith.com/uploads/fileLibrary/d5619.pdf","Spec Sheet"))</f>
        <v>Spec Sheet</v>
      </c>
      <c r="C56" s="24"/>
      <c r="D56" s="24"/>
      <c r="E56" s="24"/>
      <c r="F56" s="25"/>
      <c r="G56" s="48"/>
      <c r="H56" s="48"/>
      <c r="I56" s="8"/>
    </row>
    <row r="57" spans="1:9" s="9" customFormat="1" ht="165.75">
      <c r="A57" s="21" t="s">
        <v>84</v>
      </c>
      <c r="B57" s="20" t="s">
        <v>85</v>
      </c>
      <c r="C57" s="33"/>
      <c r="D57" s="19"/>
      <c r="E57" s="16">
        <f>IF(FALSE,D57*$H$1,0)+0</f>
        <v>0</v>
      </c>
      <c r="F57" s="16">
        <f>C57*E57</f>
        <v>0</v>
      </c>
      <c r="G57" s="49"/>
      <c r="H57" s="47"/>
      <c r="I57" s="15"/>
    </row>
    <row r="58" spans="1:9" s="9" customFormat="1" ht="12" customHeight="1">
      <c r="A58" s="22"/>
      <c r="B58" s="23" t="str">
        <f>IF("http://www.jrsmith.com/uploads/fileLibrary/d5200ser.pdf"="","",HYPERLINK("http://www.jrsmith.com/uploads/fileLibrary/d5200ser.pdf","Spec Sheet"))</f>
        <v>Spec Sheet</v>
      </c>
      <c r="C58" s="24"/>
      <c r="D58" s="24"/>
      <c r="E58" s="24"/>
      <c r="F58" s="25"/>
      <c r="G58" s="48"/>
      <c r="H58" s="48"/>
      <c r="I58" s="8"/>
    </row>
    <row r="59" spans="1:9" s="9" customFormat="1" ht="165.75">
      <c r="A59" s="21"/>
      <c r="B59" s="45" t="s">
        <v>85</v>
      </c>
      <c r="C59" s="33">
        <v>1</v>
      </c>
      <c r="D59" s="19">
        <v>224</v>
      </c>
      <c r="E59" s="16">
        <f>IF(TRUE,D59*$H$1,224)+0</f>
        <v>224</v>
      </c>
      <c r="F59" s="16">
        <f>C59*E59</f>
        <v>224</v>
      </c>
      <c r="G59" s="49"/>
      <c r="H59" s="47"/>
      <c r="I59" s="15"/>
    </row>
    <row r="60" spans="1:9" s="9" customFormat="1" ht="12" customHeight="1">
      <c r="A60" s="22"/>
      <c r="B60" s="46" t="str">
        <f>IF("http://www.jrsmith.com/uploads/fileLibrary/d5200ser.pdf"="","",HYPERLINK("http://www.jrsmith.com/uploads/fileLibrary/d5200ser.pdf","Spec Sheet"))</f>
        <v>Spec Sheet</v>
      </c>
      <c r="C60" s="24"/>
      <c r="D60" s="24"/>
      <c r="E60" s="24"/>
      <c r="F60" s="25"/>
      <c r="G60" s="48"/>
      <c r="H60" s="48"/>
      <c r="I60" s="8"/>
    </row>
    <row r="61" spans="1:9" s="9" customFormat="1" ht="165.75">
      <c r="A61" s="21"/>
      <c r="B61" s="45" t="s">
        <v>86</v>
      </c>
      <c r="C61" s="33">
        <v>1</v>
      </c>
      <c r="D61" s="19">
        <v>433</v>
      </c>
      <c r="E61" s="16">
        <f>IF(TRUE,D61*$H$1,433)+0</f>
        <v>433</v>
      </c>
      <c r="F61" s="16">
        <f>C61*E61</f>
        <v>433</v>
      </c>
      <c r="G61" s="49"/>
      <c r="H61" s="47"/>
      <c r="I61" s="15"/>
    </row>
    <row r="62" spans="1:9" s="9" customFormat="1" ht="12" customHeight="1">
      <c r="A62" s="22"/>
      <c r="B62" s="46" t="str">
        <f>IF("http://www.jrsmith.com/uploads/fileLibrary/d5200ser.pdf"="","",HYPERLINK("http://www.jrsmith.com/uploads/fileLibrary/d5200ser.pdf","Spec Sheet"))</f>
        <v>Spec Sheet</v>
      </c>
      <c r="C62" s="24"/>
      <c r="D62" s="24"/>
      <c r="E62" s="24"/>
      <c r="F62" s="25"/>
      <c r="G62" s="48"/>
      <c r="H62" s="48"/>
      <c r="I62" s="8"/>
    </row>
    <row r="63" spans="1:9" s="9" customFormat="1" ht="165.75">
      <c r="A63" s="21"/>
      <c r="B63" s="45" t="s">
        <v>87</v>
      </c>
      <c r="C63" s="33">
        <v>1</v>
      </c>
      <c r="D63" s="19">
        <v>683</v>
      </c>
      <c r="E63" s="16">
        <f>IF(TRUE,D63*$H$1,683)+0</f>
        <v>683</v>
      </c>
      <c r="F63" s="16">
        <f>C63*E63</f>
        <v>683</v>
      </c>
      <c r="G63" s="49"/>
      <c r="H63" s="47"/>
      <c r="I63" s="15"/>
    </row>
    <row r="64" spans="1:9" s="9" customFormat="1" ht="12" customHeight="1">
      <c r="A64" s="22"/>
      <c r="B64" s="46" t="str">
        <f>IF("http://www.jrsmith.com/uploads/fileLibrary/d5200ser.pdf"="","",HYPERLINK("http://www.jrsmith.com/uploads/fileLibrary/d5200ser.pdf","Spec Sheet"))</f>
        <v>Spec Sheet</v>
      </c>
      <c r="C64" s="24"/>
      <c r="D64" s="24"/>
      <c r="E64" s="24"/>
      <c r="F64" s="25"/>
      <c r="G64" s="48"/>
      <c r="H64" s="48"/>
      <c r="I64" s="8"/>
    </row>
    <row r="65" spans="1:9" s="9" customFormat="1" ht="165.75">
      <c r="A65" s="21"/>
      <c r="B65" s="45" t="s">
        <v>88</v>
      </c>
      <c r="C65" s="33">
        <v>1</v>
      </c>
      <c r="D65" s="19">
        <v>1441</v>
      </c>
      <c r="E65" s="16">
        <f>IF(TRUE,D65*$H$1,1441)+0</f>
        <v>1441</v>
      </c>
      <c r="F65" s="16">
        <f>C65*E65</f>
        <v>1441</v>
      </c>
      <c r="G65" s="49"/>
      <c r="H65" s="47"/>
      <c r="I65" s="15"/>
    </row>
    <row r="66" spans="1:9" s="9" customFormat="1" ht="12" customHeight="1">
      <c r="A66" s="22"/>
      <c r="B66" s="46" t="str">
        <f>IF("http://www.jrsmith.com/uploads/fileLibrary/d5200ser.pdf"="","",HYPERLINK("http://www.jrsmith.com/uploads/fileLibrary/d5200ser.pdf","Spec Sheet"))</f>
        <v>Spec Sheet</v>
      </c>
      <c r="C66" s="24"/>
      <c r="D66" s="24"/>
      <c r="E66" s="24"/>
      <c r="F66" s="25"/>
      <c r="G66" s="48"/>
      <c r="H66" s="48"/>
      <c r="I66" s="8"/>
    </row>
    <row r="67" spans="1:9" s="9" customFormat="1" ht="165.75">
      <c r="A67" s="21"/>
      <c r="B67" s="45" t="s">
        <v>89</v>
      </c>
      <c r="C67" s="33">
        <v>1</v>
      </c>
      <c r="D67" s="19">
        <v>1788</v>
      </c>
      <c r="E67" s="16">
        <f>IF(TRUE,D67*$H$1,1788)+0</f>
        <v>1788</v>
      </c>
      <c r="F67" s="16">
        <f>C67*E67</f>
        <v>1788</v>
      </c>
      <c r="G67" s="49"/>
      <c r="H67" s="47"/>
      <c r="I67" s="15"/>
    </row>
    <row r="68" spans="1:9" s="9" customFormat="1" ht="12" customHeight="1">
      <c r="A68" s="22"/>
      <c r="B68" s="46" t="str">
        <f>IF("http://www.jrsmith.com/uploads/fileLibrary/d5200ser.pdf"="","",HYPERLINK("http://www.jrsmith.com/uploads/fileLibrary/d5200ser.pdf","Spec Sheet"))</f>
        <v>Spec Sheet</v>
      </c>
      <c r="C68" s="24"/>
      <c r="D68" s="24"/>
      <c r="E68" s="24"/>
      <c r="F68" s="25"/>
      <c r="G68" s="48"/>
      <c r="H68" s="48"/>
      <c r="I68" s="8"/>
    </row>
    <row r="69" spans="1:9" s="9" customFormat="1" ht="165.75">
      <c r="A69" s="21"/>
      <c r="B69" s="45" t="s">
        <v>90</v>
      </c>
      <c r="C69" s="33">
        <v>1</v>
      </c>
      <c r="D69" s="19">
        <v>2128</v>
      </c>
      <c r="E69" s="16">
        <f>IF(TRUE,D69*$H$1,2128)+0</f>
        <v>2128</v>
      </c>
      <c r="F69" s="16">
        <f>C69*E69</f>
        <v>2128</v>
      </c>
      <c r="G69" s="49"/>
      <c r="H69" s="47"/>
      <c r="I69" s="15"/>
    </row>
    <row r="70" spans="1:9" s="9" customFormat="1" ht="12" customHeight="1">
      <c r="A70" s="22"/>
      <c r="B70" s="46" t="str">
        <f>IF("http://www.jrsmith.com/uploads/fileLibrary/d5200ser.pdf"="","",HYPERLINK("http://www.jrsmith.com/uploads/fileLibrary/d5200ser.pdf","Spec Sheet"))</f>
        <v>Spec Sheet</v>
      </c>
      <c r="C70" s="24"/>
      <c r="D70" s="24"/>
      <c r="E70" s="24"/>
      <c r="F70" s="25"/>
      <c r="G70" s="48"/>
      <c r="H70" s="48"/>
      <c r="I70" s="8"/>
    </row>
    <row r="71" spans="1:9" s="9" customFormat="1" ht="165.75">
      <c r="A71" s="21" t="s">
        <v>91</v>
      </c>
      <c r="B71" s="20" t="s">
        <v>92</v>
      </c>
      <c r="C71" s="33"/>
      <c r="D71" s="19"/>
      <c r="E71" s="16">
        <f>IF(FALSE,D71*$H$1,0)+0</f>
        <v>0</v>
      </c>
      <c r="F71" s="16">
        <f>C71*E71</f>
        <v>0</v>
      </c>
      <c r="G71" s="49"/>
      <c r="H71" s="47"/>
      <c r="I71" s="15"/>
    </row>
    <row r="72" spans="1:9" s="9" customFormat="1" ht="12" customHeight="1">
      <c r="A72" s="22"/>
      <c r="B72" s="23" t="str">
        <f>IF("http://www.jrsmith.com/uploads/fileLibrary/d4510.pdf"="","",HYPERLINK("http://www.jrsmith.com/uploads/fileLibrary/d4510.pdf","Spec Sheet"))</f>
        <v>Spec Sheet</v>
      </c>
      <c r="C72" s="24"/>
      <c r="D72" s="24"/>
      <c r="E72" s="24"/>
      <c r="F72" s="25"/>
      <c r="G72" s="48"/>
      <c r="H72" s="48"/>
      <c r="I72" s="8"/>
    </row>
    <row r="73" spans="1:9" s="9" customFormat="1" ht="165.75">
      <c r="A73" s="21"/>
      <c r="B73" s="45" t="s">
        <v>93</v>
      </c>
      <c r="C73" s="33">
        <v>1</v>
      </c>
      <c r="D73" s="19">
        <v>467</v>
      </c>
      <c r="E73" s="16">
        <f>IF(TRUE,D73*$H$1,467)+0</f>
        <v>467</v>
      </c>
      <c r="F73" s="16">
        <f>C73*E73</f>
        <v>467</v>
      </c>
      <c r="G73" s="49"/>
      <c r="H73" s="47"/>
      <c r="I73" s="15"/>
    </row>
    <row r="74" spans="1:9" s="9" customFormat="1" ht="12" customHeight="1">
      <c r="A74" s="22"/>
      <c r="B74" s="46" t="str">
        <f>IF("http://www.jrsmith.com/uploads/fileLibrary/d4510.pdf"="","",HYPERLINK("http://www.jrsmith.com/uploads/fileLibrary/d4510.pdf","Spec Sheet"))</f>
        <v>Spec Sheet</v>
      </c>
      <c r="C74" s="24"/>
      <c r="D74" s="24"/>
      <c r="E74" s="24"/>
      <c r="F74" s="25"/>
      <c r="G74" s="48"/>
      <c r="H74" s="48"/>
      <c r="I74" s="8"/>
    </row>
    <row r="75" spans="1:9" s="9" customFormat="1" ht="165.75">
      <c r="A75" s="21"/>
      <c r="B75" s="45" t="s">
        <v>94</v>
      </c>
      <c r="C75" s="33">
        <v>1</v>
      </c>
      <c r="D75" s="19">
        <v>538</v>
      </c>
      <c r="E75" s="16">
        <f>IF(TRUE,D75*$H$1,538)+0</f>
        <v>538</v>
      </c>
      <c r="F75" s="16">
        <f>C75*E75</f>
        <v>538</v>
      </c>
      <c r="G75" s="49"/>
      <c r="H75" s="47"/>
      <c r="I75" s="15"/>
    </row>
    <row r="76" spans="1:9" s="9" customFormat="1" ht="12" customHeight="1">
      <c r="A76" s="22"/>
      <c r="B76" s="46" t="str">
        <f>IF("http://www.jrsmith.com/uploads/fileLibrary/d4510.pdf"="","",HYPERLINK("http://www.jrsmith.com/uploads/fileLibrary/d4510.pdf","Spec Sheet"))</f>
        <v>Spec Sheet</v>
      </c>
      <c r="C76" s="24"/>
      <c r="D76" s="24"/>
      <c r="E76" s="24"/>
      <c r="F76" s="25"/>
      <c r="G76" s="48"/>
      <c r="H76" s="48"/>
      <c r="I76" s="8"/>
    </row>
    <row r="77" spans="1:9" s="9" customFormat="1" ht="165.75">
      <c r="A77" s="21"/>
      <c r="B77" s="45" t="s">
        <v>95</v>
      </c>
      <c r="C77" s="33">
        <v>1</v>
      </c>
      <c r="D77" s="19">
        <v>786</v>
      </c>
      <c r="E77" s="16">
        <f>IF(TRUE,D77*$H$1,786)+0</f>
        <v>786</v>
      </c>
      <c r="F77" s="16">
        <f>C77*E77</f>
        <v>786</v>
      </c>
      <c r="G77" s="49"/>
      <c r="H77" s="47"/>
      <c r="I77" s="15"/>
    </row>
    <row r="78" spans="1:9" s="9" customFormat="1" ht="12" customHeight="1">
      <c r="A78" s="22"/>
      <c r="B78" s="46" t="str">
        <f>IF("http://www.jrsmith.com/uploads/fileLibrary/d4510.pdf"="","",HYPERLINK("http://www.jrsmith.com/uploads/fileLibrary/d4510.pdf","Spec Sheet"))</f>
        <v>Spec Sheet</v>
      </c>
      <c r="C78" s="24"/>
      <c r="D78" s="24"/>
      <c r="E78" s="24"/>
      <c r="F78" s="25"/>
      <c r="G78" s="48"/>
      <c r="H78" s="48"/>
      <c r="I78" s="8"/>
    </row>
    <row r="79" spans="1:9" s="9" customFormat="1" ht="165.75">
      <c r="A79" s="21" t="s">
        <v>91</v>
      </c>
      <c r="B79" s="20" t="s">
        <v>96</v>
      </c>
      <c r="C79" s="33"/>
      <c r="D79" s="19"/>
      <c r="E79" s="16">
        <f>IF(FALSE,D79*$H$1,0)+0</f>
        <v>0</v>
      </c>
      <c r="F79" s="16">
        <f>C79*E79</f>
        <v>0</v>
      </c>
      <c r="G79" s="49"/>
      <c r="H79" s="47"/>
      <c r="I79" s="15"/>
    </row>
    <row r="80" spans="1:9" s="9" customFormat="1" ht="12" customHeight="1">
      <c r="A80" s="22"/>
      <c r="B80" s="23" t="str">
        <f>IF("http://www.jrsmith.com/uploads/fileLibrary/d4510.pdf"="","",HYPERLINK("http://www.jrsmith.com/uploads/fileLibrary/d4510.pdf","Spec Sheet"))</f>
        <v>Spec Sheet</v>
      </c>
      <c r="C80" s="24"/>
      <c r="D80" s="24"/>
      <c r="E80" s="24"/>
      <c r="F80" s="25"/>
      <c r="G80" s="48"/>
      <c r="H80" s="48"/>
      <c r="I80" s="8"/>
    </row>
    <row r="81" spans="1:9" s="9" customFormat="1" ht="165.75">
      <c r="A81" s="21"/>
      <c r="B81" s="45" t="s">
        <v>97</v>
      </c>
      <c r="C81" s="33">
        <v>1</v>
      </c>
      <c r="D81" s="19">
        <v>715</v>
      </c>
      <c r="E81" s="16">
        <f>IF(TRUE,D81*$H$1,715)+0</f>
        <v>715</v>
      </c>
      <c r="F81" s="16">
        <f>C81*E81</f>
        <v>715</v>
      </c>
      <c r="G81" s="49"/>
      <c r="H81" s="47"/>
      <c r="I81" s="15"/>
    </row>
    <row r="82" spans="1:9" s="9" customFormat="1" ht="12" customHeight="1">
      <c r="A82" s="22"/>
      <c r="B82" s="46" t="str">
        <f>IF("http://www.jrsmith.com/uploads/fileLibrary/d4510.pdf"="","",HYPERLINK("http://www.jrsmith.com/uploads/fileLibrary/d4510.pdf","Spec Sheet"))</f>
        <v>Spec Sheet</v>
      </c>
      <c r="C82" s="24"/>
      <c r="D82" s="24"/>
      <c r="E82" s="24"/>
      <c r="F82" s="25"/>
      <c r="G82" s="48"/>
      <c r="H82" s="48"/>
      <c r="I82" s="8"/>
    </row>
    <row r="83" spans="1:9" s="9" customFormat="1" ht="165.75">
      <c r="A83" s="21"/>
      <c r="B83" s="45" t="s">
        <v>98</v>
      </c>
      <c r="C83" s="33">
        <v>1</v>
      </c>
      <c r="D83" s="19">
        <v>783</v>
      </c>
      <c r="E83" s="16">
        <f>IF(TRUE,D83*$H$1,783)+0</f>
        <v>783</v>
      </c>
      <c r="F83" s="16">
        <f>C83*E83</f>
        <v>783</v>
      </c>
      <c r="G83" s="49"/>
      <c r="H83" s="47"/>
      <c r="I83" s="15"/>
    </row>
    <row r="84" spans="1:9" s="9" customFormat="1" ht="12" customHeight="1">
      <c r="A84" s="22"/>
      <c r="B84" s="46" t="str">
        <f>IF("http://www.jrsmith.com/uploads/fileLibrary/d4510.pdf"="","",HYPERLINK("http://www.jrsmith.com/uploads/fileLibrary/d4510.pdf","Spec Sheet"))</f>
        <v>Spec Sheet</v>
      </c>
      <c r="C84" s="24"/>
      <c r="D84" s="24"/>
      <c r="E84" s="24"/>
      <c r="F84" s="25"/>
      <c r="G84" s="48"/>
      <c r="H84" s="48"/>
      <c r="I84" s="8"/>
    </row>
    <row r="85" spans="1:9" s="9" customFormat="1" ht="165.75">
      <c r="A85" s="21"/>
      <c r="B85" s="45" t="s">
        <v>99</v>
      </c>
      <c r="C85" s="33">
        <v>1</v>
      </c>
      <c r="D85" s="19">
        <v>1031</v>
      </c>
      <c r="E85" s="16">
        <f>IF(TRUE,D85*$H$1,1031)+0</f>
        <v>1031</v>
      </c>
      <c r="F85" s="16">
        <f>C85*E85</f>
        <v>1031</v>
      </c>
      <c r="G85" s="49"/>
      <c r="H85" s="47"/>
      <c r="I85" s="15"/>
    </row>
    <row r="86" spans="1:9" s="9" customFormat="1" ht="12" customHeight="1">
      <c r="A86" s="22"/>
      <c r="B86" s="46" t="str">
        <f>IF("http://www.jrsmith.com/uploads/fileLibrary/d4510.pdf"="","",HYPERLINK("http://www.jrsmith.com/uploads/fileLibrary/d4510.pdf","Spec Sheet"))</f>
        <v>Spec Sheet</v>
      </c>
      <c r="C86" s="24"/>
      <c r="D86" s="24"/>
      <c r="E86" s="24"/>
      <c r="F86" s="25"/>
      <c r="G86" s="48"/>
      <c r="H86" s="48"/>
      <c r="I86" s="8"/>
    </row>
    <row r="87" spans="1:9" s="43" customFormat="1" ht="11.25" customHeight="1" hidden="1">
      <c r="A87" s="38"/>
      <c r="B87" s="39"/>
      <c r="C87" s="40"/>
      <c r="D87" s="40"/>
      <c r="E87" s="40"/>
      <c r="F87" s="41"/>
      <c r="G87" s="42"/>
      <c r="H87" s="42"/>
      <c r="I87" s="42"/>
    </row>
    <row r="88" spans="1:9" s="43" customFormat="1" ht="11.25" customHeight="1">
      <c r="A88" s="38"/>
      <c r="B88" s="39"/>
      <c r="C88" s="40"/>
      <c r="D88" s="18" t="s">
        <v>4</v>
      </c>
      <c r="E88" s="18"/>
      <c r="F88" s="37">
        <f>SUBTOTAL(9,F17:F87)</f>
        <v>31663</v>
      </c>
      <c r="G88" s="42"/>
      <c r="H88" s="42"/>
      <c r="I88" s="42"/>
    </row>
    <row r="89" spans="1:9" s="43" customFormat="1" ht="11.25" customHeight="1">
      <c r="A89" s="38"/>
      <c r="B89" s="39"/>
      <c r="C89" s="40"/>
      <c r="D89" s="18"/>
      <c r="E89" s="18"/>
      <c r="F89" s="52"/>
      <c r="G89" s="42"/>
      <c r="H89" s="42"/>
      <c r="I89" s="42"/>
    </row>
    <row r="90" spans="1:9" s="43" customFormat="1" ht="12.75" customHeight="1">
      <c r="A90" s="53"/>
      <c r="B90" s="53"/>
      <c r="C90" s="53"/>
      <c r="D90" s="53"/>
      <c r="E90" s="53"/>
      <c r="F90" s="53"/>
      <c r="G90" s="51"/>
      <c r="H90" s="42"/>
      <c r="I90" s="42"/>
    </row>
  </sheetData>
  <sheetProtection/>
  <mergeCells count="1">
    <mergeCell ref="A90:F9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100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101</v>
      </c>
      <c r="B17" s="20" t="s">
        <v>102</v>
      </c>
      <c r="C17" s="33"/>
      <c r="D17" s="19"/>
      <c r="E17" s="16">
        <f>IF(FALSE,D17*$H$1,0)+0</f>
        <v>0</v>
      </c>
      <c r="F17" s="16">
        <f>C17*E17</f>
        <v>0</v>
      </c>
      <c r="G17" s="49"/>
      <c r="H17" s="47"/>
      <c r="I17" s="15"/>
    </row>
    <row r="18" spans="1:9" s="9" customFormat="1" ht="12" customHeight="1">
      <c r="A18" s="22"/>
      <c r="B18" s="23" t="str">
        <f>IF("http://www.americanstandard-us.com/for-the-pros/"="","",HYPERLINK("http://www.americanstandard-us.com/for-the-pros/","Spec Sheet"))</f>
        <v>Spec Sheet</v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/>
      <c r="B19" s="45" t="s">
        <v>103</v>
      </c>
      <c r="C19" s="33">
        <v>1</v>
      </c>
      <c r="D19" s="19">
        <v>28.0368</v>
      </c>
      <c r="E19" s="16">
        <f>IF(TRUE,D19*$H$1,28.0368)+0</f>
        <v>28.0368</v>
      </c>
      <c r="F19" s="16">
        <f>C19*E19</f>
        <v>28.0368</v>
      </c>
      <c r="G19" s="49"/>
      <c r="H19" s="47"/>
      <c r="I19" s="15"/>
    </row>
    <row r="20" spans="1:9" s="9" customFormat="1" ht="12" customHeight="1">
      <c r="A20" s="22"/>
      <c r="B20" s="46" t="str">
        <f>IF("http://products.mcguiremfg.com/pdf/155AECO.pdf"="","",HYPERLINK("http://products.mcguiremfg.com/pdf/155AECO.pdf","Spec Sheet"))</f>
        <v>Spec Sheet</v>
      </c>
      <c r="C20" s="24"/>
      <c r="D20" s="24"/>
      <c r="E20" s="24"/>
      <c r="F20" s="25"/>
      <c r="G20" s="48"/>
      <c r="H20" s="48"/>
      <c r="I20" s="8"/>
    </row>
    <row r="21" spans="1:9" s="9" customFormat="1" ht="165.75">
      <c r="A21" s="21"/>
      <c r="B21" s="45" t="s">
        <v>104</v>
      </c>
      <c r="C21" s="33">
        <v>1</v>
      </c>
      <c r="D21" s="19">
        <v>76.0536</v>
      </c>
      <c r="E21" s="16">
        <f>IF(TRUE,D21*$H$1,76.0536)+0</f>
        <v>76.0536</v>
      </c>
      <c r="F21" s="16">
        <f>C21*E21</f>
        <v>76.0536</v>
      </c>
      <c r="G21" s="49"/>
      <c r="H21" s="47"/>
      <c r="I21" s="15"/>
    </row>
    <row r="22" spans="1:9" s="9" customFormat="1" ht="12" customHeight="1">
      <c r="A22" s="22"/>
      <c r="B22" s="46" t="str">
        <f>IF("http://products.mcguiremfg.com/pdf/Traps8872_8904_Add.pdf"="","",HYPERLINK("http://products.mcguiremfg.com/pdf/Traps8872_8904_Add.pdf","Spec Sheet"))</f>
        <v>Spec Sheet</v>
      </c>
      <c r="C22" s="24"/>
      <c r="D22" s="24"/>
      <c r="E22" s="24"/>
      <c r="F22" s="25"/>
      <c r="G22" s="48"/>
      <c r="H22" s="48"/>
      <c r="I22" s="8"/>
    </row>
    <row r="23" spans="1:9" s="9" customFormat="1" ht="165.75">
      <c r="A23" s="21"/>
      <c r="B23" s="45" t="s">
        <v>105</v>
      </c>
      <c r="C23" s="33">
        <v>1</v>
      </c>
      <c r="D23" s="19">
        <v>45.846</v>
      </c>
      <c r="E23" s="16">
        <f>IF(TRUE,D23*$H$1,45.846)+0</f>
        <v>45.846</v>
      </c>
      <c r="F23" s="16">
        <f>C23*E23</f>
        <v>45.846</v>
      </c>
      <c r="G23" s="49"/>
      <c r="H23" s="47"/>
      <c r="I23" s="15"/>
    </row>
    <row r="24" spans="1:9" s="9" customFormat="1" ht="12" customHeight="1">
      <c r="A24" s="22"/>
      <c r="B24" s="46" t="str">
        <f>IF("http://products.mcguiremfg.com/pdf/LF175_LF177LK.pdf"="","",HYPERLINK("http://products.mcguiremfg.com/pdf/LF175_LF177LK.pdf","Spec Sheet"))</f>
        <v>Spec Sheet</v>
      </c>
      <c r="C24" s="24"/>
      <c r="D24" s="24"/>
      <c r="E24" s="24"/>
      <c r="F24" s="25"/>
      <c r="G24" s="48"/>
      <c r="H24" s="48"/>
      <c r="I24" s="8"/>
    </row>
    <row r="25" spans="1:9" s="9" customFormat="1" ht="165.75">
      <c r="A25" s="21"/>
      <c r="B25" s="45" t="s">
        <v>106</v>
      </c>
      <c r="C25" s="33">
        <v>1</v>
      </c>
      <c r="D25" s="19">
        <v>142.398</v>
      </c>
      <c r="E25" s="16">
        <f>IF(TRUE,D25*$H$1,142.398)+0</f>
        <v>142.398</v>
      </c>
      <c r="F25" s="16">
        <f>C25*E25</f>
        <v>142.398</v>
      </c>
      <c r="G25" s="49"/>
      <c r="H25" s="47"/>
      <c r="I25" s="15"/>
    </row>
    <row r="26" spans="1:9" s="9" customFormat="1" ht="12" customHeight="1">
      <c r="A26" s="22"/>
      <c r="B26" s="46" t="str">
        <f>IF("http://products.mcguiremfg.com/pdf/PW2000.pdf"="","",HYPERLINK("http://products.mcguiremfg.com/pdf/PW2000.pdf","Spec Sheet"))</f>
        <v>Spec Sheet</v>
      </c>
      <c r="C26" s="24"/>
      <c r="D26" s="24"/>
      <c r="E26" s="24"/>
      <c r="F26" s="25"/>
      <c r="G26" s="48"/>
      <c r="H26" s="48"/>
      <c r="I26" s="8"/>
    </row>
    <row r="27" spans="1:9" s="9" customFormat="1" ht="165.75">
      <c r="A27" s="21"/>
      <c r="B27" s="45" t="s">
        <v>107</v>
      </c>
      <c r="C27" s="33">
        <v>1</v>
      </c>
      <c r="D27" s="19">
        <v>203.7528</v>
      </c>
      <c r="E27" s="16">
        <f>IF(TRUE,D27*$H$1,203.7528)+0</f>
        <v>203.7528</v>
      </c>
      <c r="F27" s="16">
        <f>C27*E27</f>
        <v>203.7528</v>
      </c>
      <c r="G27" s="49"/>
      <c r="H27" s="47"/>
      <c r="I27" s="15"/>
    </row>
    <row r="28" spans="1:9" s="9" customFormat="1" ht="12" customHeight="1">
      <c r="A28" s="22"/>
      <c r="B28" s="46" t="str">
        <f>IF("http://www.mcguiremfg.com/products-specification-sheets.htm"="","",HYPERLINK("http://www.mcguiremfg.com/products-specification-sheets.htm","Spec Sheet"))</f>
        <v>Spec Sheet</v>
      </c>
      <c r="C28" s="24"/>
      <c r="D28" s="24"/>
      <c r="E28" s="24"/>
      <c r="F28" s="25"/>
      <c r="G28" s="48"/>
      <c r="H28" s="48"/>
      <c r="I28" s="8"/>
    </row>
    <row r="29" spans="1:9" s="9" customFormat="1" ht="165.75">
      <c r="A29" s="21" t="s">
        <v>101</v>
      </c>
      <c r="B29" s="20" t="s">
        <v>108</v>
      </c>
      <c r="C29" s="33"/>
      <c r="D29" s="19"/>
      <c r="E29" s="16">
        <f>IF(FALSE,D29*$H$1,0)+0</f>
        <v>0</v>
      </c>
      <c r="F29" s="16">
        <f>C29*E29</f>
        <v>0</v>
      </c>
      <c r="G29" s="49"/>
      <c r="H29" s="47"/>
      <c r="I29" s="15"/>
    </row>
    <row r="30" spans="1:9" s="9" customFormat="1" ht="12" customHeight="1">
      <c r="A30" s="22"/>
      <c r="B30" s="23" t="str">
        <f>IF("http://products.mcguiremfg.com/pdf/155A.pdf"="","",HYPERLINK("http://products.mcguiremfg.com/pdf/155A.pdf","Spec Sheet"))</f>
        <v>Spec Sheet</v>
      </c>
      <c r="C30" s="24"/>
      <c r="D30" s="24"/>
      <c r="E30" s="24"/>
      <c r="F30" s="25"/>
      <c r="G30" s="48"/>
      <c r="H30" s="48"/>
      <c r="I30" s="8"/>
    </row>
    <row r="31" spans="1:9" s="9" customFormat="1" ht="165.75">
      <c r="A31" s="21"/>
      <c r="B31" s="45" t="s">
        <v>109</v>
      </c>
      <c r="C31" s="33">
        <v>1</v>
      </c>
      <c r="D31" s="19">
        <v>52.0776</v>
      </c>
      <c r="E31" s="16">
        <f>IF(TRUE,D31*$H$1,52.0776)+0</f>
        <v>52.0776</v>
      </c>
      <c r="F31" s="16">
        <f>C31*E31</f>
        <v>52.0776</v>
      </c>
      <c r="G31" s="49"/>
      <c r="H31" s="47"/>
      <c r="I31" s="15"/>
    </row>
    <row r="32" spans="1:9" s="9" customFormat="1" ht="12" customHeight="1">
      <c r="A32" s="22"/>
      <c r="B32" s="46" t="str">
        <f>IF("http://products.mcguiremfg.com/pdf/155WCECO.pdf"="","",HYPERLINK("http://products.mcguiremfg.com/pdf/155WCECO.pdf","Spec Sheet"))</f>
        <v>Spec Sheet</v>
      </c>
      <c r="C32" s="24"/>
      <c r="D32" s="24"/>
      <c r="E32" s="24"/>
      <c r="F32" s="25"/>
      <c r="G32" s="48"/>
      <c r="H32" s="48"/>
      <c r="I32" s="8"/>
    </row>
    <row r="33" spans="1:9" s="9" customFormat="1" ht="165.75">
      <c r="A33" s="21"/>
      <c r="B33" s="45" t="s">
        <v>110</v>
      </c>
      <c r="C33" s="33">
        <v>1</v>
      </c>
      <c r="D33" s="19">
        <v>170.964</v>
      </c>
      <c r="E33" s="16">
        <f>IF(TRUE,D33*$H$1,170.964)+0</f>
        <v>170.964</v>
      </c>
      <c r="F33" s="16">
        <f>C33*E33</f>
        <v>170.964</v>
      </c>
      <c r="G33" s="49"/>
      <c r="H33" s="47"/>
      <c r="I33" s="15"/>
    </row>
    <row r="34" spans="1:9" s="9" customFormat="1" ht="12" customHeight="1">
      <c r="A34" s="22"/>
      <c r="B34" s="46" t="str">
        <f>IF("http://products.mcguiremfg.com/pdf/PW2000.pdf"="","",HYPERLINK("http://products.mcguiremfg.com/pdf/PW2000.pdf","Spec Sheet"))</f>
        <v>Spec Sheet</v>
      </c>
      <c r="C34" s="24"/>
      <c r="D34" s="24"/>
      <c r="E34" s="24"/>
      <c r="F34" s="25"/>
      <c r="G34" s="48"/>
      <c r="H34" s="48"/>
      <c r="I34" s="8"/>
    </row>
    <row r="35" spans="1:9" s="9" customFormat="1" ht="165.75">
      <c r="A35" s="21"/>
      <c r="B35" s="45" t="s">
        <v>111</v>
      </c>
      <c r="C35" s="33">
        <v>1</v>
      </c>
      <c r="D35" s="19">
        <v>302.346</v>
      </c>
      <c r="E35" s="16">
        <f>IF(TRUE,D35*$H$1,302.346)+0</f>
        <v>302.346</v>
      </c>
      <c r="F35" s="16">
        <f>C35*E35</f>
        <v>302.346</v>
      </c>
      <c r="G35" s="49"/>
      <c r="H35" s="47"/>
      <c r="I35" s="15"/>
    </row>
    <row r="36" spans="1:9" s="9" customFormat="1" ht="12" customHeight="1">
      <c r="A36" s="22"/>
      <c r="B36" s="46" t="str">
        <f>IF("http://www.mcguiremfg.com/products-specification-sheets.htm"="","",HYPERLINK("http://www.mcguiremfg.com/products-specification-sheets.htm","Spec Sheet"))</f>
        <v>Spec Sheet</v>
      </c>
      <c r="C36" s="24"/>
      <c r="D36" s="24"/>
      <c r="E36" s="24"/>
      <c r="F36" s="25"/>
      <c r="G36" s="48"/>
      <c r="H36" s="48"/>
      <c r="I36" s="8"/>
    </row>
    <row r="37" spans="1:9" s="9" customFormat="1" ht="165.75">
      <c r="A37" s="21" t="s">
        <v>112</v>
      </c>
      <c r="B37" s="20" t="s">
        <v>113</v>
      </c>
      <c r="C37" s="33">
        <v>1</v>
      </c>
      <c r="D37" s="19">
        <v>79.7796</v>
      </c>
      <c r="E37" s="16">
        <f>IF(TRUE,D37*$H$1,79.7796)+0</f>
        <v>79.7796</v>
      </c>
      <c r="F37" s="16">
        <f>C37*E37</f>
        <v>79.7796</v>
      </c>
      <c r="G37" s="49"/>
      <c r="H37" s="47"/>
      <c r="I37" s="15"/>
    </row>
    <row r="38" spans="1:9" s="9" customFormat="1" ht="12" customHeight="1">
      <c r="A38" s="22"/>
      <c r="B38" s="23" t="str">
        <f>IF("http://products.mcguiremfg.com/pdf/Traps8872_8904.pdf"="","",HYPERLINK("http://products.mcguiremfg.com/pdf/Traps8872_8904.pdf","Spec Sheet"))</f>
        <v>Spec Sheet</v>
      </c>
      <c r="C38" s="24"/>
      <c r="D38" s="24"/>
      <c r="E38" s="24"/>
      <c r="F38" s="25"/>
      <c r="G38" s="48"/>
      <c r="H38" s="48"/>
      <c r="I38" s="8"/>
    </row>
    <row r="39" spans="1:9" s="9" customFormat="1" ht="165.75">
      <c r="A39" s="21" t="s">
        <v>112</v>
      </c>
      <c r="B39" s="20" t="s">
        <v>114</v>
      </c>
      <c r="C39" s="33">
        <v>1</v>
      </c>
      <c r="D39" s="19">
        <v>46.5156</v>
      </c>
      <c r="E39" s="16">
        <f>IF(TRUE,D39*$H$1,46.5156)+0</f>
        <v>46.5156</v>
      </c>
      <c r="F39" s="16">
        <f>C39*E39</f>
        <v>46.5156</v>
      </c>
      <c r="G39" s="49"/>
      <c r="H39" s="47"/>
      <c r="I39" s="15"/>
    </row>
    <row r="40" spans="1:9" s="9" customFormat="1" ht="12" customHeight="1">
      <c r="A40" s="22"/>
      <c r="B40" s="23" t="str">
        <f>IF("http://www.mcguiremfg.com/products-specification-sheets.htm"="","",HYPERLINK("http://www.mcguiremfg.com/products-specification-sheets.htm","Spec Sheet"))</f>
        <v>Spec Sheet</v>
      </c>
      <c r="C40" s="24"/>
      <c r="D40" s="24"/>
      <c r="E40" s="24"/>
      <c r="F40" s="25"/>
      <c r="G40" s="48"/>
      <c r="H40" s="48"/>
      <c r="I40" s="8"/>
    </row>
    <row r="41" spans="1:9" s="9" customFormat="1" ht="165.75">
      <c r="A41" s="21" t="s">
        <v>115</v>
      </c>
      <c r="B41" s="20" t="s">
        <v>116</v>
      </c>
      <c r="C41" s="33"/>
      <c r="D41" s="19"/>
      <c r="E41" s="16">
        <f>IF(FALSE,D41*$H$1,0)+0</f>
        <v>0</v>
      </c>
      <c r="F41" s="16">
        <f>C41*E41</f>
        <v>0</v>
      </c>
      <c r="G41" s="49"/>
      <c r="H41" s="47"/>
      <c r="I41" s="15"/>
    </row>
    <row r="42" spans="1:9" s="9" customFormat="1" ht="12" customHeight="1">
      <c r="A42" s="22"/>
      <c r="B42" s="23">
        <f>IF(""="","",HYPERLINK("","Spec Sheet"))</f>
      </c>
      <c r="C42" s="24"/>
      <c r="D42" s="24"/>
      <c r="E42" s="24"/>
      <c r="F42" s="25"/>
      <c r="G42" s="48"/>
      <c r="H42" s="48"/>
      <c r="I42" s="8"/>
    </row>
    <row r="43" spans="1:9" s="9" customFormat="1" ht="165.75">
      <c r="A43" s="21"/>
      <c r="B43" s="45" t="s">
        <v>117</v>
      </c>
      <c r="C43" s="33">
        <v>1</v>
      </c>
      <c r="D43" s="19">
        <v>35.4564</v>
      </c>
      <c r="E43" s="16">
        <f>IF(TRUE,D43*$H$1,35.4564)+0</f>
        <v>35.4564</v>
      </c>
      <c r="F43" s="16">
        <f>C43*E43</f>
        <v>35.4564</v>
      </c>
      <c r="G43" s="49"/>
      <c r="H43" s="47"/>
      <c r="I43" s="15"/>
    </row>
    <row r="44" spans="1:9" s="9" customFormat="1" ht="12" customHeight="1">
      <c r="A44" s="22"/>
      <c r="B44" s="46" t="str">
        <f>IF("http://products.mcguiremfg.com/pdf/151AECO.pdf"="","",HYPERLINK("http://products.mcguiremfg.com/pdf/151AECO.pdf","Spec Sheet"))</f>
        <v>Spec Sheet</v>
      </c>
      <c r="C44" s="24"/>
      <c r="D44" s="24"/>
      <c r="E44" s="24"/>
      <c r="F44" s="25"/>
      <c r="G44" s="48"/>
      <c r="H44" s="48"/>
      <c r="I44" s="8"/>
    </row>
    <row r="45" spans="1:9" s="9" customFormat="1" ht="165.75">
      <c r="A45" s="21"/>
      <c r="B45" s="45" t="s">
        <v>118</v>
      </c>
      <c r="C45" s="33">
        <v>1</v>
      </c>
      <c r="D45" s="19">
        <v>56.2572</v>
      </c>
      <c r="E45" s="16">
        <f>IF(TRUE,D45*$H$1,56.2572)+0</f>
        <v>56.2572</v>
      </c>
      <c r="F45" s="16">
        <f>C45*E45</f>
        <v>56.2572</v>
      </c>
      <c r="G45" s="49"/>
      <c r="H45" s="47"/>
      <c r="I45" s="15"/>
    </row>
    <row r="46" spans="1:9" s="9" customFormat="1" ht="12" customHeight="1">
      <c r="A46" s="22"/>
      <c r="B46" s="46" t="str">
        <f>IF("http://www.mcguiremfg.com/products-specification-sheets.htm"="","",HYPERLINK("http://www.mcguiremfg.com/products-specification-sheets.htm","Spec Sheet"))</f>
        <v>Spec Sheet</v>
      </c>
      <c r="C46" s="24"/>
      <c r="D46" s="24"/>
      <c r="E46" s="24"/>
      <c r="F46" s="25"/>
      <c r="G46" s="48"/>
      <c r="H46" s="48"/>
      <c r="I46" s="8"/>
    </row>
    <row r="47" spans="1:9" s="9" customFormat="1" ht="165.75">
      <c r="A47" s="21"/>
      <c r="B47" s="45" t="s">
        <v>105</v>
      </c>
      <c r="C47" s="33">
        <v>1</v>
      </c>
      <c r="D47" s="19">
        <v>45.846</v>
      </c>
      <c r="E47" s="16">
        <f>IF(TRUE,D47*$H$1,45.846)+0</f>
        <v>45.846</v>
      </c>
      <c r="F47" s="16">
        <f>C47*E47</f>
        <v>45.846</v>
      </c>
      <c r="G47" s="49"/>
      <c r="H47" s="47"/>
      <c r="I47" s="15"/>
    </row>
    <row r="48" spans="1:9" s="9" customFormat="1" ht="12" customHeight="1">
      <c r="A48" s="22"/>
      <c r="B48" s="46" t="str">
        <f>IF("http://products.mcguiremfg.com/pdf/LF175_LF177LK.pdf"="","",HYPERLINK("http://products.mcguiremfg.com/pdf/LF175_LF177LK.pdf","Spec Sheet"))</f>
        <v>Spec Sheet</v>
      </c>
      <c r="C48" s="24"/>
      <c r="D48" s="24"/>
      <c r="E48" s="24"/>
      <c r="F48" s="25"/>
      <c r="G48" s="48"/>
      <c r="H48" s="48"/>
      <c r="I48" s="8"/>
    </row>
    <row r="49" spans="1:9" s="9" customFormat="1" ht="165.75">
      <c r="A49" s="21"/>
      <c r="B49" s="45" t="s">
        <v>119</v>
      </c>
      <c r="C49" s="33">
        <v>1</v>
      </c>
      <c r="D49" s="19">
        <v>142.398</v>
      </c>
      <c r="E49" s="16">
        <f>IF(TRUE,D49*$H$1,142.398)+0</f>
        <v>142.398</v>
      </c>
      <c r="F49" s="16">
        <f>C49*E49</f>
        <v>142.398</v>
      </c>
      <c r="G49" s="49"/>
      <c r="H49" s="47"/>
      <c r="I49" s="15"/>
    </row>
    <row r="50" spans="1:9" s="9" customFormat="1" ht="12" customHeight="1">
      <c r="A50" s="22"/>
      <c r="B50" s="46" t="str">
        <f>IF("http://products.mcguiremfg.com/pdf/PW2000.pdf"="","",HYPERLINK("http://products.mcguiremfg.com/pdf/PW2000.pdf","Spec Sheet"))</f>
        <v>Spec Sheet</v>
      </c>
      <c r="C50" s="24"/>
      <c r="D50" s="24"/>
      <c r="E50" s="24"/>
      <c r="F50" s="25"/>
      <c r="G50" s="48"/>
      <c r="H50" s="48"/>
      <c r="I50" s="8"/>
    </row>
    <row r="51" spans="1:9" s="9" customFormat="1" ht="165.75">
      <c r="A51" s="21" t="s">
        <v>120</v>
      </c>
      <c r="B51" s="20" t="s">
        <v>114</v>
      </c>
      <c r="C51" s="33">
        <v>1</v>
      </c>
      <c r="D51" s="19">
        <v>46.5156</v>
      </c>
      <c r="E51" s="16">
        <f>IF(TRUE,D51*$H$1,46.5156)+0</f>
        <v>46.5156</v>
      </c>
      <c r="F51" s="16">
        <f>C51*E51</f>
        <v>46.5156</v>
      </c>
      <c r="G51" s="49"/>
      <c r="H51" s="47"/>
      <c r="I51" s="15"/>
    </row>
    <row r="52" spans="1:9" s="9" customFormat="1" ht="12" customHeight="1">
      <c r="A52" s="22"/>
      <c r="B52" s="23" t="str">
        <f>IF("http://www.mcguiremfg.com/products-specification-sheets.htm"="","",HYPERLINK("http://www.mcguiremfg.com/products-specification-sheets.htm","Spec Sheet"))</f>
        <v>Spec Sheet</v>
      </c>
      <c r="C52" s="24"/>
      <c r="D52" s="24"/>
      <c r="E52" s="24"/>
      <c r="F52" s="25"/>
      <c r="G52" s="48"/>
      <c r="H52" s="48"/>
      <c r="I52" s="8"/>
    </row>
    <row r="53" spans="1:9" s="9" customFormat="1" ht="165.75">
      <c r="A53" s="21" t="s">
        <v>120</v>
      </c>
      <c r="B53" s="20" t="s">
        <v>113</v>
      </c>
      <c r="C53" s="33">
        <v>1</v>
      </c>
      <c r="D53" s="19">
        <v>79.7796</v>
      </c>
      <c r="E53" s="16">
        <f>IF(TRUE,D53*$H$1,79.7796)+0</f>
        <v>79.7796</v>
      </c>
      <c r="F53" s="16">
        <f>C53*E53</f>
        <v>79.7796</v>
      </c>
      <c r="G53" s="49"/>
      <c r="H53" s="47"/>
      <c r="I53" s="15"/>
    </row>
    <row r="54" spans="1:9" s="9" customFormat="1" ht="12" customHeight="1">
      <c r="A54" s="22"/>
      <c r="B54" s="23" t="str">
        <f>IF("http://products.mcguiremfg.com/pdf/Traps8872_8904.pdf"="","",HYPERLINK("http://products.mcguiremfg.com/pdf/Traps8872_8904.pdf","Spec Sheet"))</f>
        <v>Spec Sheet</v>
      </c>
      <c r="C54" s="24"/>
      <c r="D54" s="24"/>
      <c r="E54" s="24"/>
      <c r="F54" s="25"/>
      <c r="G54" s="48"/>
      <c r="H54" s="48"/>
      <c r="I54" s="8"/>
    </row>
    <row r="55" spans="1:9" s="43" customFormat="1" ht="11.25" customHeight="1" hidden="1">
      <c r="A55" s="38"/>
      <c r="B55" s="39"/>
      <c r="C55" s="40"/>
      <c r="D55" s="40"/>
      <c r="E55" s="40"/>
      <c r="F55" s="41"/>
      <c r="G55" s="42"/>
      <c r="H55" s="42"/>
      <c r="I55" s="42"/>
    </row>
    <row r="56" spans="1:9" s="43" customFormat="1" ht="11.25" customHeight="1">
      <c r="A56" s="38"/>
      <c r="B56" s="39"/>
      <c r="C56" s="40"/>
      <c r="D56" s="18" t="s">
        <v>4</v>
      </c>
      <c r="E56" s="18"/>
      <c r="F56" s="37">
        <f>SUBTOTAL(9,F17:F55)</f>
        <v>1554.0228</v>
      </c>
      <c r="G56" s="42"/>
      <c r="H56" s="42"/>
      <c r="I56" s="42"/>
    </row>
    <row r="57" spans="1:9" s="43" customFormat="1" ht="11.25" customHeight="1">
      <c r="A57" s="38"/>
      <c r="B57" s="39"/>
      <c r="C57" s="40"/>
      <c r="D57" s="18"/>
      <c r="E57" s="18"/>
      <c r="F57" s="52"/>
      <c r="G57" s="42"/>
      <c r="H57" s="42"/>
      <c r="I57" s="42"/>
    </row>
    <row r="58" spans="1:9" s="43" customFormat="1" ht="12.75" customHeight="1">
      <c r="A58" s="53"/>
      <c r="B58" s="53"/>
      <c r="C58" s="53"/>
      <c r="D58" s="53"/>
      <c r="E58" s="53"/>
      <c r="F58" s="53"/>
      <c r="G58" s="51"/>
      <c r="H58" s="42"/>
      <c r="I58" s="42"/>
    </row>
  </sheetData>
  <sheetProtection/>
  <mergeCells count="1">
    <mergeCell ref="A58:F5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41.7109375" style="0" customWidth="1"/>
    <col min="3" max="3" width="9.7109375" style="0" customWidth="1"/>
    <col min="4" max="6" width="10.7109375" style="0" customWidth="1"/>
    <col min="7" max="10" width="11.421875" style="0" customWidth="1"/>
    <col min="11" max="11" width="9.8515625" style="0" customWidth="1"/>
  </cols>
  <sheetData>
    <row r="1" spans="1:8" ht="18">
      <c r="A1" s="29"/>
      <c r="B1" s="44" t="s">
        <v>21</v>
      </c>
      <c r="C1" s="30" t="s">
        <v>22</v>
      </c>
      <c r="D1" s="30"/>
      <c r="E1" s="29"/>
      <c r="F1" s="29"/>
      <c r="G1" s="34" t="s">
        <v>18</v>
      </c>
      <c r="H1" s="36">
        <v>1</v>
      </c>
    </row>
    <row r="2" spans="1:6" ht="15">
      <c r="A2" s="29"/>
      <c r="B2" s="29"/>
      <c r="C2" s="30" t="s">
        <v>23</v>
      </c>
      <c r="D2" s="30"/>
      <c r="E2" s="29"/>
      <c r="F2" s="29"/>
    </row>
    <row r="3" spans="1:6" ht="15">
      <c r="A3" s="29"/>
      <c r="B3" s="29"/>
      <c r="C3" s="30" t="s">
        <v>24</v>
      </c>
      <c r="D3" s="30"/>
      <c r="E3" s="29"/>
      <c r="F3" s="29"/>
    </row>
    <row r="4" spans="1:6" ht="12.75">
      <c r="A4" s="29"/>
      <c r="B4" s="29"/>
      <c r="C4" s="13" t="s">
        <v>25</v>
      </c>
      <c r="D4" s="29"/>
      <c r="E4" s="29"/>
      <c r="F4" s="29"/>
    </row>
    <row r="5" spans="1:6" ht="12.75">
      <c r="A5" s="29"/>
      <c r="B5" s="29"/>
      <c r="C5" s="13" t="s">
        <v>26</v>
      </c>
      <c r="D5" s="29"/>
      <c r="E5" s="29"/>
      <c r="F5" s="29"/>
    </row>
    <row r="6" spans="1:6" ht="12.75">
      <c r="A6" s="13"/>
      <c r="B6" s="13"/>
      <c r="C6" s="31" t="str">
        <f>IF("http://www.repsouth.com"="","",HYPERLINK("http://www.repsouth.com","www.repsouth.com"))</f>
        <v>www.repsouth.com</v>
      </c>
      <c r="D6" s="13"/>
      <c r="E6" s="29"/>
      <c r="F6" s="29"/>
    </row>
    <row r="7" spans="1:6" ht="12.75">
      <c r="A7" s="13"/>
      <c r="B7" s="13"/>
      <c r="C7" s="13"/>
      <c r="D7" s="13"/>
      <c r="E7" s="29"/>
      <c r="F7" s="29"/>
    </row>
    <row r="8" spans="1:6" ht="12.75">
      <c r="A8" s="14" t="s">
        <v>17</v>
      </c>
      <c r="B8" s="13"/>
      <c r="C8" s="18" t="s">
        <v>6</v>
      </c>
      <c r="D8" s="32" t="str">
        <f>TRIM("18760-2")</f>
        <v>18760-2</v>
      </c>
      <c r="E8" s="29"/>
      <c r="F8" s="29"/>
    </row>
    <row r="9" spans="1:6" ht="12.75">
      <c r="A9" s="14" t="s">
        <v>5</v>
      </c>
      <c r="B9" s="13" t="s">
        <v>27</v>
      </c>
      <c r="C9" s="18" t="s">
        <v>9</v>
      </c>
      <c r="D9" s="32" t="s">
        <v>28</v>
      </c>
      <c r="E9" s="29"/>
      <c r="F9" s="29"/>
    </row>
    <row r="10" spans="1:8" ht="12.75">
      <c r="A10" s="14" t="s">
        <v>3</v>
      </c>
      <c r="B10" s="13" t="s">
        <v>29</v>
      </c>
      <c r="C10" s="18" t="s">
        <v>14</v>
      </c>
      <c r="D10" s="28">
        <v>44887.29679690972</v>
      </c>
      <c r="E10" s="11"/>
      <c r="F10" s="29"/>
      <c r="H10" s="10"/>
    </row>
    <row r="11" spans="1:10" ht="12.75">
      <c r="A11" s="26" t="s">
        <v>10</v>
      </c>
      <c r="B11" s="13" t="s">
        <v>30</v>
      </c>
      <c r="C11" s="18" t="s">
        <v>15</v>
      </c>
      <c r="D11" s="28">
        <v>44893</v>
      </c>
      <c r="E11" s="11"/>
      <c r="F11" s="29"/>
      <c r="J11" s="10"/>
    </row>
    <row r="12" spans="1:10" ht="12.75">
      <c r="A12" s="14" t="s">
        <v>11</v>
      </c>
      <c r="B12" s="13"/>
      <c r="C12" s="18" t="s">
        <v>16</v>
      </c>
      <c r="D12" s="28">
        <v>44887.32416690972</v>
      </c>
      <c r="E12" s="11"/>
      <c r="F12" s="29"/>
      <c r="J12" s="10"/>
    </row>
    <row r="13" spans="1:10" ht="12.75">
      <c r="A13" s="26" t="s">
        <v>12</v>
      </c>
      <c r="B13" s="27"/>
      <c r="C13" s="18"/>
      <c r="D13" s="29"/>
      <c r="E13" s="11"/>
      <c r="F13" s="29"/>
      <c r="J13" s="10"/>
    </row>
    <row r="14" spans="1:10" ht="12.75">
      <c r="A14" s="14" t="s">
        <v>13</v>
      </c>
      <c r="B14" s="13"/>
      <c r="C14" s="18"/>
      <c r="D14" s="13"/>
      <c r="E14" s="11"/>
      <c r="F14" s="29"/>
      <c r="J14" s="10"/>
    </row>
    <row r="15" spans="1:6" ht="12.75">
      <c r="A15" s="26" t="s">
        <v>20</v>
      </c>
      <c r="B15" s="29" t="s">
        <v>121</v>
      </c>
      <c r="C15" s="29"/>
      <c r="D15" s="29"/>
      <c r="E15" s="29"/>
      <c r="F15" s="29"/>
    </row>
    <row r="16" spans="1:6" ht="13.5" customHeight="1">
      <c r="A16" s="17" t="s">
        <v>7</v>
      </c>
      <c r="B16" s="17" t="s">
        <v>0</v>
      </c>
      <c r="C16" s="35" t="s">
        <v>8</v>
      </c>
      <c r="D16" s="35" t="s">
        <v>1</v>
      </c>
      <c r="E16" s="35" t="s">
        <v>2</v>
      </c>
      <c r="F16" s="35" t="s">
        <v>19</v>
      </c>
    </row>
    <row r="17" spans="1:9" s="9" customFormat="1" ht="165.75">
      <c r="A17" s="21" t="s">
        <v>112</v>
      </c>
      <c r="B17" s="20" t="s">
        <v>122</v>
      </c>
      <c r="C17" s="33">
        <v>1</v>
      </c>
      <c r="D17" s="19">
        <v>3730</v>
      </c>
      <c r="E17" s="16">
        <f>IF(TRUE,D17*$H$1,3730)+0</f>
        <v>3730</v>
      </c>
      <c r="F17" s="16">
        <f>C17*E17</f>
        <v>3730</v>
      </c>
      <c r="G17" s="49"/>
      <c r="H17" s="47"/>
      <c r="I17" s="15"/>
    </row>
    <row r="18" spans="1:9" s="9" customFormat="1" ht="12" customHeight="1">
      <c r="A18" s="22"/>
      <c r="B18" s="23">
        <f>IF(""="","",HYPERLINK("","Spec Sheet"))</f>
      </c>
      <c r="C18" s="24"/>
      <c r="D18" s="24"/>
      <c r="E18" s="24"/>
      <c r="F18" s="25"/>
      <c r="G18" s="48"/>
      <c r="H18" s="48"/>
      <c r="I18" s="8"/>
    </row>
    <row r="19" spans="1:9" s="9" customFormat="1" ht="165.75">
      <c r="A19" s="21" t="s">
        <v>112</v>
      </c>
      <c r="B19" s="20" t="s">
        <v>123</v>
      </c>
      <c r="C19" s="33">
        <v>1</v>
      </c>
      <c r="D19" s="19">
        <v>193</v>
      </c>
      <c r="E19" s="16">
        <f>IF(TRUE,D19*$H$1,193)+0</f>
        <v>193</v>
      </c>
      <c r="F19" s="16">
        <f>C19*E19</f>
        <v>193</v>
      </c>
      <c r="G19" s="49"/>
      <c r="H19" s="47"/>
      <c r="I19" s="15"/>
    </row>
    <row r="20" spans="1:9" s="9" customFormat="1" ht="12" customHeight="1">
      <c r="A20" s="22"/>
      <c r="B20" s="23">
        <f>IF(""="","",HYPERLINK("","Spec Sheet"))</f>
      </c>
      <c r="C20" s="24"/>
      <c r="D20" s="24"/>
      <c r="E20" s="24"/>
      <c r="F20" s="25"/>
      <c r="G20" s="48"/>
      <c r="H20" s="48"/>
      <c r="I20" s="8"/>
    </row>
    <row r="21" spans="1:9" s="9" customFormat="1" ht="165.75">
      <c r="A21" s="21" t="s">
        <v>120</v>
      </c>
      <c r="B21" s="20" t="s">
        <v>124</v>
      </c>
      <c r="C21" s="33">
        <v>1</v>
      </c>
      <c r="D21" s="19">
        <v>7416</v>
      </c>
      <c r="E21" s="16">
        <f>IF(TRUE,D21*$H$1,7416)+0</f>
        <v>7416</v>
      </c>
      <c r="F21" s="16">
        <f>C21*E21</f>
        <v>7416</v>
      </c>
      <c r="G21" s="49"/>
      <c r="H21" s="47"/>
      <c r="I21" s="15"/>
    </row>
    <row r="22" spans="1:9" s="9" customFormat="1" ht="12" customHeight="1">
      <c r="A22" s="22"/>
      <c r="B22" s="23">
        <f>IF(""="","",HYPERLINK("","Spec Sheet"))</f>
      </c>
      <c r="C22" s="24"/>
      <c r="D22" s="24"/>
      <c r="E22" s="24"/>
      <c r="F22" s="25"/>
      <c r="G22" s="48"/>
      <c r="H22" s="48"/>
      <c r="I22" s="8"/>
    </row>
    <row r="23" spans="1:9" s="9" customFormat="1" ht="165.75">
      <c r="A23" s="21" t="s">
        <v>120</v>
      </c>
      <c r="B23" s="20" t="s">
        <v>125</v>
      </c>
      <c r="C23" s="33">
        <v>1</v>
      </c>
      <c r="D23" s="19">
        <v>571</v>
      </c>
      <c r="E23" s="16">
        <f>IF(TRUE,D23*$H$1,571)+0</f>
        <v>571</v>
      </c>
      <c r="F23" s="16">
        <f>C23*E23</f>
        <v>571</v>
      </c>
      <c r="G23" s="49"/>
      <c r="H23" s="47"/>
      <c r="I23" s="15"/>
    </row>
    <row r="24" spans="1:9" s="9" customFormat="1" ht="12" customHeight="1">
      <c r="A24" s="22"/>
      <c r="B24" s="23">
        <f>IF(""="","",HYPERLINK("","Spec Sheet"))</f>
      </c>
      <c r="C24" s="24"/>
      <c r="D24" s="24"/>
      <c r="E24" s="24"/>
      <c r="F24" s="25"/>
      <c r="G24" s="48"/>
      <c r="H24" s="48"/>
      <c r="I24" s="8"/>
    </row>
    <row r="25" spans="1:9" s="43" customFormat="1" ht="11.25" customHeight="1" hidden="1">
      <c r="A25" s="38"/>
      <c r="B25" s="39"/>
      <c r="C25" s="40"/>
      <c r="D25" s="40"/>
      <c r="E25" s="40"/>
      <c r="F25" s="41"/>
      <c r="G25" s="42"/>
      <c r="H25" s="42"/>
      <c r="I25" s="42"/>
    </row>
    <row r="26" spans="1:9" s="43" customFormat="1" ht="11.25" customHeight="1">
      <c r="A26" s="38"/>
      <c r="B26" s="39"/>
      <c r="C26" s="40"/>
      <c r="D26" s="18" t="s">
        <v>4</v>
      </c>
      <c r="E26" s="18"/>
      <c r="F26" s="37">
        <f>SUBTOTAL(9,F17:F25)</f>
        <v>11910</v>
      </c>
      <c r="G26" s="42"/>
      <c r="H26" s="42"/>
      <c r="I26" s="42"/>
    </row>
    <row r="27" spans="1:9" s="43" customFormat="1" ht="11.25" customHeight="1">
      <c r="A27" s="38"/>
      <c r="B27" s="39"/>
      <c r="C27" s="40"/>
      <c r="D27" s="18"/>
      <c r="E27" s="18"/>
      <c r="F27" s="52"/>
      <c r="G27" s="42"/>
      <c r="H27" s="42"/>
      <c r="I27" s="42"/>
    </row>
    <row r="28" spans="1:9" s="43" customFormat="1" ht="12.75" customHeight="1">
      <c r="A28" s="53"/>
      <c r="B28" s="53"/>
      <c r="C28" s="53"/>
      <c r="D28" s="53"/>
      <c r="E28" s="53"/>
      <c r="F28" s="53"/>
      <c r="G28" s="51"/>
      <c r="H28" s="42"/>
      <c r="I28" s="42"/>
    </row>
  </sheetData>
  <sheetProtection/>
  <mergeCells count="1">
    <mergeCell ref="A28:F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Matt Wilson</cp:lastModifiedBy>
  <cp:lastPrinted>2005-07-04T00:48:20Z</cp:lastPrinted>
  <dcterms:created xsi:type="dcterms:W3CDTF">2022-11-22T12:46:49Z</dcterms:created>
  <dcterms:modified xsi:type="dcterms:W3CDTF">2022-11-22T12:46:49Z</dcterms:modified>
  <cp:category/>
  <cp:version/>
  <cp:contentType/>
  <cp:contentStatus/>
</cp:coreProperties>
</file>